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Sinergia Consultant\Event\SCBD\"/>
    </mc:Choice>
  </mc:AlternateContent>
  <bookViews>
    <workbookView xWindow="0" yWindow="15" windowWidth="8835" windowHeight="9435" activeTab="1"/>
  </bookViews>
  <sheets>
    <sheet name="Insetive Sales 1" sheetId="1" r:id="rId1"/>
    <sheet name="Insentive Sales 2" sheetId="3" r:id="rId2"/>
  </sheets>
  <calcPr calcId="162913"/>
</workbook>
</file>

<file path=xl/calcChain.xml><?xml version="1.0" encoding="utf-8"?>
<calcChain xmlns="http://schemas.openxmlformats.org/spreadsheetml/2006/main">
  <c r="C2" i="3" l="1"/>
  <c r="Q2" i="1"/>
  <c r="M28" i="1"/>
  <c r="M22" i="1"/>
  <c r="M16" i="1"/>
  <c r="M10" i="1"/>
  <c r="M4" i="1"/>
  <c r="D18" i="3"/>
  <c r="E18" i="3" s="1"/>
  <c r="E4" i="3"/>
  <c r="D6" i="3"/>
  <c r="P6" i="1"/>
  <c r="O5" i="1"/>
  <c r="Q5" i="1" s="1"/>
  <c r="P12" i="1"/>
  <c r="O8" i="1"/>
  <c r="Q8" i="1"/>
  <c r="E6" i="3"/>
  <c r="F34" i="3"/>
  <c r="F28" i="3"/>
  <c r="E19" i="3"/>
  <c r="E16" i="3"/>
  <c r="E15" i="3"/>
  <c r="E14" i="3"/>
  <c r="E12" i="3"/>
  <c r="E11" i="3"/>
  <c r="E10" i="3"/>
  <c r="E9" i="3"/>
  <c r="E8" i="3"/>
  <c r="E39" i="3"/>
  <c r="E38" i="3"/>
  <c r="E36" i="3"/>
  <c r="E34" i="3"/>
  <c r="G34" i="3" s="1"/>
  <c r="E33" i="3"/>
  <c r="E32" i="3"/>
  <c r="E30" i="3"/>
  <c r="E28" i="3"/>
  <c r="G28" i="3" s="1"/>
  <c r="E27" i="3"/>
  <c r="E26" i="3"/>
  <c r="E24" i="3"/>
  <c r="E23" i="3"/>
  <c r="E22" i="3"/>
  <c r="E20" i="3"/>
  <c r="E21" i="3"/>
  <c r="C25" i="3"/>
  <c r="E25" i="3" s="1"/>
  <c r="C19" i="3"/>
  <c r="C37" i="3"/>
  <c r="E37" i="3" s="1"/>
  <c r="C35" i="3"/>
  <c r="E35" i="3" s="1"/>
  <c r="C31" i="3"/>
  <c r="E31" i="3" s="1"/>
  <c r="C29" i="3"/>
  <c r="E29" i="3" s="1"/>
  <c r="C23" i="3"/>
  <c r="C17" i="3"/>
  <c r="E17" i="3" s="1"/>
  <c r="C13" i="3"/>
  <c r="E13" i="3" s="1"/>
  <c r="C11" i="3"/>
  <c r="C7" i="3"/>
  <c r="E7" i="3" s="1"/>
  <c r="C5" i="3"/>
  <c r="E5" i="3" s="1"/>
  <c r="O33" i="1"/>
  <c r="O27" i="1"/>
  <c r="Q27" i="1" s="1"/>
  <c r="O21" i="1"/>
  <c r="O15" i="1"/>
  <c r="Q15" i="1" s="1"/>
  <c r="Q33" i="1"/>
  <c r="Q32" i="1"/>
  <c r="Q21" i="1"/>
  <c r="O9" i="1"/>
  <c r="Q9" i="1" s="1"/>
  <c r="Q4" i="1"/>
  <c r="Q6" i="1"/>
  <c r="O10" i="1"/>
  <c r="R22" i="1"/>
  <c r="Q12" i="1"/>
  <c r="Q13" i="1"/>
  <c r="Q7" i="1"/>
  <c r="Q31" i="1"/>
  <c r="Q30" i="1"/>
  <c r="Q25" i="1"/>
  <c r="Q24" i="1"/>
  <c r="Q19" i="1"/>
  <c r="Q18" i="1"/>
  <c r="P37" i="1"/>
  <c r="O14" i="1"/>
  <c r="O20" i="1"/>
  <c r="Q20" i="1" s="1"/>
  <c r="O26" i="1"/>
  <c r="Q26" i="1" s="1"/>
  <c r="O32" i="1"/>
  <c r="R37" i="1"/>
  <c r="P39" i="1"/>
  <c r="O39" i="1"/>
  <c r="P38" i="1"/>
  <c r="O37" i="1"/>
  <c r="E52" i="1"/>
  <c r="E51" i="1"/>
  <c r="E7" i="1"/>
  <c r="E8" i="1"/>
  <c r="E9" i="1"/>
  <c r="E15" i="1"/>
  <c r="E16" i="1"/>
  <c r="E23" i="1"/>
  <c r="E24" i="1"/>
  <c r="E31" i="1"/>
  <c r="E32" i="1"/>
  <c r="E33" i="1" s="1"/>
  <c r="E39" i="1"/>
  <c r="E40" i="1"/>
  <c r="E41" i="1"/>
  <c r="G42" i="1" s="1"/>
  <c r="D7" i="1"/>
  <c r="D8" i="1"/>
  <c r="D9" i="1" s="1"/>
  <c r="D15" i="1"/>
  <c r="D16" i="1"/>
  <c r="D17" i="1"/>
  <c r="D23" i="1"/>
  <c r="D25" i="1" s="1"/>
  <c r="D24" i="1"/>
  <c r="D31" i="1"/>
  <c r="G31" i="1" s="1"/>
  <c r="D32" i="1"/>
  <c r="D39" i="1"/>
  <c r="D40" i="1"/>
  <c r="D41" i="1"/>
  <c r="D49" i="1"/>
  <c r="E47" i="1"/>
  <c r="D47" i="1"/>
  <c r="E46" i="1"/>
  <c r="D46" i="1"/>
  <c r="B10" i="1"/>
  <c r="B11" i="1"/>
  <c r="G5" i="1"/>
  <c r="G6" i="1"/>
  <c r="G7" i="1"/>
  <c r="G10" i="1"/>
  <c r="I6" i="1"/>
  <c r="I5" i="1"/>
  <c r="I9" i="1"/>
  <c r="I10" i="1" s="1"/>
  <c r="B14" i="1"/>
  <c r="B22" i="1" s="1"/>
  <c r="B30" i="1" s="1"/>
  <c r="B18" i="1"/>
  <c r="B19" i="1" s="1"/>
  <c r="B20" i="1"/>
  <c r="E20" i="1"/>
  <c r="E28" i="1" s="1"/>
  <c r="G13" i="1"/>
  <c r="G14" i="1"/>
  <c r="G16" i="1"/>
  <c r="I14" i="1"/>
  <c r="I15" i="1" s="1"/>
  <c r="I19" i="1" s="1"/>
  <c r="I13" i="1"/>
  <c r="I17" i="1"/>
  <c r="I18" i="1"/>
  <c r="B26" i="1"/>
  <c r="B27" i="1" s="1"/>
  <c r="B28" i="1"/>
  <c r="B36" i="1" s="1"/>
  <c r="B44" i="1" s="1"/>
  <c r="G21" i="1"/>
  <c r="G22" i="1"/>
  <c r="G23" i="1"/>
  <c r="I22" i="1"/>
  <c r="I21" i="1"/>
  <c r="I23" i="1" s="1"/>
  <c r="I27" i="1" s="1"/>
  <c r="I25" i="1"/>
  <c r="I26" i="1" s="1"/>
  <c r="B38" i="1"/>
  <c r="B42" i="1"/>
  <c r="B43" i="1" s="1"/>
  <c r="E36" i="1"/>
  <c r="G30" i="1" s="1"/>
  <c r="E44" i="1"/>
  <c r="G37" i="1" s="1"/>
  <c r="G43" i="1"/>
  <c r="I38" i="1"/>
  <c r="I37" i="1"/>
  <c r="I39" i="1"/>
  <c r="I41" i="1"/>
  <c r="I42" i="1" s="1"/>
  <c r="I20" i="1"/>
  <c r="I28" i="1" s="1"/>
  <c r="I36" i="1" s="1"/>
  <c r="I44" i="1" s="1"/>
  <c r="G29" i="1"/>
  <c r="I30" i="1"/>
  <c r="I29" i="1"/>
  <c r="I31" i="1"/>
  <c r="I33" i="1"/>
  <c r="I34" i="1" s="1"/>
  <c r="B34" i="1"/>
  <c r="B35" i="1" s="1"/>
  <c r="F16" i="3" l="1"/>
  <c r="G16" i="3" s="1"/>
  <c r="F22" i="3"/>
  <c r="G22" i="3" s="1"/>
  <c r="G34" i="1"/>
  <c r="G35" i="1"/>
  <c r="G36" i="1" s="1"/>
  <c r="J29" i="1"/>
  <c r="G12" i="1"/>
  <c r="J5" i="1" s="1"/>
  <c r="I35" i="1"/>
  <c r="O16" i="1"/>
  <c r="Q10" i="1"/>
  <c r="O11" i="1"/>
  <c r="Q11" i="1" s="1"/>
  <c r="G24" i="1"/>
  <c r="E49" i="1"/>
  <c r="G11" i="1"/>
  <c r="O38" i="1"/>
  <c r="Q14" i="1"/>
  <c r="F10" i="3"/>
  <c r="G10" i="3" s="1"/>
  <c r="F4" i="3"/>
  <c r="G4" i="3" s="1"/>
  <c r="G39" i="1"/>
  <c r="I7" i="1"/>
  <c r="I11" i="1" s="1"/>
  <c r="E25" i="1"/>
  <c r="R4" i="1"/>
  <c r="I43" i="1"/>
  <c r="G15" i="1"/>
  <c r="E17" i="1"/>
  <c r="G40" i="1"/>
  <c r="G8" i="1"/>
  <c r="D33" i="1"/>
  <c r="D50" i="1" s="1"/>
  <c r="D48" i="1"/>
  <c r="G38" i="1"/>
  <c r="G44" i="1" s="1"/>
  <c r="J37" i="1" s="1"/>
  <c r="E48" i="1"/>
  <c r="G32" i="1"/>
  <c r="G26" i="1" l="1"/>
  <c r="G28" i="1" s="1"/>
  <c r="J21" i="1" s="1"/>
  <c r="G27" i="1"/>
  <c r="R10" i="1"/>
  <c r="G19" i="1"/>
  <c r="G18" i="1"/>
  <c r="G20" i="1" s="1"/>
  <c r="J13" i="1" s="1"/>
  <c r="E50" i="1"/>
  <c r="G50" i="1" s="1"/>
  <c r="Q16" i="1"/>
  <c r="O22" i="1"/>
  <c r="O17" i="1"/>
  <c r="Q17" i="1" s="1"/>
  <c r="J45" i="1" l="1"/>
  <c r="Q22" i="1"/>
  <c r="O28" i="1"/>
  <c r="O23" i="1"/>
  <c r="Q23" i="1" s="1"/>
  <c r="R16" i="1"/>
  <c r="K37" i="1" l="1"/>
  <c r="K29" i="1"/>
  <c r="K5" i="1"/>
  <c r="K45" i="1" s="1"/>
  <c r="O29" i="1"/>
  <c r="Q29" i="1" s="1"/>
  <c r="Q28" i="1"/>
  <c r="R28" i="1" s="1"/>
  <c r="K21" i="1"/>
  <c r="K13" i="1"/>
  <c r="R34" i="1" l="1"/>
  <c r="S22" i="1" l="1"/>
  <c r="S4" i="1"/>
  <c r="S34" i="1" s="1"/>
  <c r="S10" i="1"/>
  <c r="S16" i="1"/>
  <c r="S28" i="1"/>
</calcChain>
</file>

<file path=xl/sharedStrings.xml><?xml version="1.0" encoding="utf-8"?>
<sst xmlns="http://schemas.openxmlformats.org/spreadsheetml/2006/main" count="248" uniqueCount="69">
  <si>
    <t>Perhitungan Incentive Salesman</t>
  </si>
  <si>
    <t xml:space="preserve">Pencapaian Penjualan Bulan: </t>
  </si>
  <si>
    <t>Nama</t>
  </si>
  <si>
    <t>Item</t>
  </si>
  <si>
    <t>Sell</t>
  </si>
  <si>
    <t>Action</t>
  </si>
  <si>
    <t>Point</t>
  </si>
  <si>
    <t>Effective Call &amp; SKU</t>
  </si>
  <si>
    <t>Perolehan</t>
  </si>
  <si>
    <t>Incentive</t>
  </si>
  <si>
    <t>Salesman</t>
  </si>
  <si>
    <t>Sold</t>
  </si>
  <si>
    <t>Target</t>
  </si>
  <si>
    <t>Achieved</t>
  </si>
  <si>
    <t>Target vs Achieved</t>
  </si>
  <si>
    <t>Point Inc</t>
  </si>
  <si>
    <t>(Rp)</t>
  </si>
  <si>
    <t>Eff. Call Target</t>
  </si>
  <si>
    <t>Hari Kerja</t>
  </si>
  <si>
    <t>Eff. Call Achieved</t>
  </si>
  <si>
    <t>Eff. Kerja</t>
  </si>
  <si>
    <t>Eff. Call %</t>
  </si>
  <si>
    <t>Total Outlet</t>
  </si>
  <si>
    <t>SKU Target</t>
  </si>
  <si>
    <t>Eff. Outlet</t>
  </si>
  <si>
    <t>Total</t>
  </si>
  <si>
    <t>SKU Achieved</t>
  </si>
  <si>
    <t>% Performance</t>
  </si>
  <si>
    <t>Retur:</t>
  </si>
  <si>
    <t xml:space="preserve"> </t>
  </si>
  <si>
    <t>SKU %</t>
  </si>
  <si>
    <t>Index Kerja</t>
  </si>
  <si>
    <t>Overdue:</t>
  </si>
  <si>
    <t>Total % Achieved</t>
  </si>
  <si>
    <t>% Threshold</t>
  </si>
  <si>
    <t>CROSSCHECK</t>
  </si>
  <si>
    <t>Disiapkan Oleh :</t>
  </si>
  <si>
    <t>Disetujui Oleh :</t>
  </si>
  <si>
    <t>PROMIL</t>
  </si>
  <si>
    <t>TOTAL</t>
  </si>
  <si>
    <t>Personalia</t>
  </si>
  <si>
    <t>General Manager</t>
  </si>
  <si>
    <t>Wkl. Dirut</t>
  </si>
  <si>
    <t>Parameter</t>
  </si>
  <si>
    <t>Action Achieved</t>
  </si>
  <si>
    <t>Effective Call</t>
  </si>
  <si>
    <t>SKU</t>
  </si>
  <si>
    <t>Omset</t>
  </si>
  <si>
    <t>Retur</t>
  </si>
  <si>
    <t>Overdue</t>
  </si>
  <si>
    <t>Point Achieved</t>
  </si>
  <si>
    <t>Maret 2009</t>
  </si>
  <si>
    <t>Perhitungan Incentive Sales</t>
  </si>
  <si>
    <t>Penjualan Bulan :</t>
  </si>
  <si>
    <t>New Outlet</t>
  </si>
  <si>
    <t>Transfer Outlet</t>
  </si>
  <si>
    <t>Produk 1</t>
  </si>
  <si>
    <t>Produk 2</t>
  </si>
  <si>
    <t>Produk 3</t>
  </si>
  <si>
    <t>Produk 4</t>
  </si>
  <si>
    <t>MARET 2017</t>
  </si>
  <si>
    <t>Divisi II Reguler</t>
  </si>
  <si>
    <t>NAMA 1</t>
  </si>
  <si>
    <t>NAMA 2</t>
  </si>
  <si>
    <t>NAMA 3</t>
  </si>
  <si>
    <t>NAMA 4</t>
  </si>
  <si>
    <t>NAMA 5</t>
  </si>
  <si>
    <t>Divisi TASK FORCE</t>
  </si>
  <si>
    <t>NAMA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</si>
</sst>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0.0000"/>
    <numFmt numFmtId="165" formatCode="_(* #,##0_);_(* \(#,##0\);_(* &quot;-&quot;??_);_(@_)"/>
    <numFmt numFmtId="167" formatCode="_(* #,##0.0000_);_(* \(#,##0.0000\);_(* &quot;-&quot;??_);_(@_)"/>
  </numFmts>
  <fonts count="24" x14ac:knownFonts="1">
    <font>
      <sz val="10"/>
      <name val="Arial"/>
    </font>
    <font>
      <sz val="10"/>
      <name val="Arial"/>
    </font>
    <font>
      <u/>
      <sz val="16"/>
      <name val="Arial Black"/>
      <family val="2"/>
    </font>
    <font>
      <b/>
      <sz val="16"/>
      <name val="Tahoma"/>
      <family val="2"/>
    </font>
    <font>
      <sz val="14"/>
      <name val="Tahoma"/>
      <family val="2"/>
    </font>
    <font>
      <sz val="16"/>
      <color indexed="12"/>
      <name val="Arial Black"/>
      <family val="2"/>
    </font>
    <font>
      <sz val="12"/>
      <name val="Tahoma"/>
      <family val="2"/>
    </font>
    <font>
      <b/>
      <sz val="12"/>
      <name val="Tahoma"/>
      <family val="2"/>
    </font>
    <font>
      <sz val="11"/>
      <name val="Tahoma"/>
      <family val="2"/>
    </font>
    <font>
      <b/>
      <sz val="11"/>
      <color indexed="10"/>
      <name val="Tahoma"/>
      <family val="2"/>
    </font>
    <font>
      <b/>
      <sz val="11"/>
      <name val="Tahoma"/>
      <family val="2"/>
    </font>
    <font>
      <sz val="11"/>
      <color indexed="8"/>
      <name val="Tahoma"/>
      <family val="2"/>
    </font>
    <font>
      <sz val="11"/>
      <color indexed="10"/>
      <name val="Tahoma"/>
      <family val="2"/>
    </font>
    <font>
      <b/>
      <sz val="11"/>
      <color indexed="13"/>
      <name val="Tahoma"/>
      <family val="2"/>
    </font>
    <font>
      <u/>
      <sz val="11"/>
      <color indexed="8"/>
      <name val="Tahoma"/>
      <family val="2"/>
    </font>
    <font>
      <u/>
      <sz val="11"/>
      <name val="Tahoma"/>
      <family val="2"/>
    </font>
    <font>
      <sz val="8"/>
      <name val="Arial"/>
    </font>
    <font>
      <b/>
      <u/>
      <sz val="18"/>
      <name val="Times New Roman"/>
      <family val="1"/>
    </font>
    <font>
      <b/>
      <sz val="16"/>
      <name val="Times New Roman"/>
      <family val="1"/>
    </font>
    <font>
      <b/>
      <sz val="16"/>
      <color indexed="12"/>
      <name val="Times New Roman"/>
      <family val="1"/>
    </font>
    <font>
      <sz val="12"/>
      <name val="Times New Roman"/>
      <family val="1"/>
    </font>
    <font>
      <sz val="12"/>
      <color indexed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3">
    <xf numFmtId="0" fontId="0" fillId="0" borderId="0" xfId="0"/>
    <xf numFmtId="0" fontId="3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centerContinuous" vertical="center"/>
    </xf>
    <xf numFmtId="0" fontId="2" fillId="0" borderId="2" xfId="0" applyFont="1" applyBorder="1" applyAlignment="1">
      <alignment vertical="center"/>
    </xf>
    <xf numFmtId="0" fontId="5" fillId="0" borderId="3" xfId="0" quotePrefix="1" applyFont="1" applyBorder="1" applyAlignment="1">
      <alignment horizontal="right" vertical="center"/>
    </xf>
    <xf numFmtId="0" fontId="6" fillId="0" borderId="1" xfId="0" applyFont="1" applyBorder="1" applyAlignment="1">
      <alignment horizontal="centerContinuous" vertical="center"/>
    </xf>
    <xf numFmtId="0" fontId="6" fillId="0" borderId="5" xfId="0" applyFont="1" applyBorder="1" applyAlignment="1">
      <alignment horizontal="centerContinuous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Continuous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Continuous" vertical="center"/>
    </xf>
    <xf numFmtId="0" fontId="6" fillId="0" borderId="11" xfId="0" applyFont="1" applyBorder="1" applyAlignment="1">
      <alignment horizontal="centerContinuous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2" fontId="6" fillId="0" borderId="15" xfId="0" applyNumberFormat="1" applyFont="1" applyBorder="1" applyAlignment="1">
      <alignment horizontal="centerContinuous" vertical="center"/>
    </xf>
    <xf numFmtId="0" fontId="6" fillId="0" borderId="16" xfId="0" applyFont="1" applyBorder="1" applyAlignment="1">
      <alignment horizontal="center" vertical="center"/>
    </xf>
    <xf numFmtId="0" fontId="8" fillId="0" borderId="18" xfId="0" applyFont="1" applyBorder="1"/>
    <xf numFmtId="3" fontId="9" fillId="0" borderId="19" xfId="0" applyNumberFormat="1" applyFont="1" applyFill="1" applyBorder="1"/>
    <xf numFmtId="3" fontId="8" fillId="2" borderId="19" xfId="0" applyNumberFormat="1" applyFont="1" applyFill="1" applyBorder="1"/>
    <xf numFmtId="0" fontId="8" fillId="0" borderId="19" xfId="0" applyFont="1" applyBorder="1"/>
    <xf numFmtId="164" fontId="8" fillId="0" borderId="20" xfId="0" applyNumberFormat="1" applyFont="1" applyBorder="1"/>
    <xf numFmtId="0" fontId="8" fillId="0" borderId="21" xfId="0" applyFont="1" applyBorder="1"/>
    <xf numFmtId="2" fontId="9" fillId="0" borderId="22" xfId="0" applyNumberFormat="1" applyFont="1" applyFill="1" applyBorder="1"/>
    <xf numFmtId="0" fontId="8" fillId="0" borderId="23" xfId="0" applyFont="1" applyBorder="1"/>
    <xf numFmtId="0" fontId="9" fillId="0" borderId="24" xfId="0" applyFont="1" applyFill="1" applyBorder="1" applyAlignment="1">
      <alignment horizontal="center"/>
    </xf>
    <xf numFmtId="0" fontId="8" fillId="0" borderId="25" xfId="0" applyFont="1" applyBorder="1"/>
    <xf numFmtId="2" fontId="8" fillId="2" borderId="26" xfId="0" applyNumberFormat="1" applyFont="1" applyFill="1" applyBorder="1"/>
    <xf numFmtId="0" fontId="8" fillId="2" borderId="20" xfId="0" applyFont="1" applyFill="1" applyBorder="1"/>
    <xf numFmtId="3" fontId="9" fillId="0" borderId="22" xfId="0" applyNumberFormat="1" applyFont="1" applyFill="1" applyBorder="1"/>
    <xf numFmtId="0" fontId="8" fillId="0" borderId="17" xfId="0" applyFont="1" applyFill="1" applyBorder="1"/>
    <xf numFmtId="2" fontId="8" fillId="0" borderId="27" xfId="0" applyNumberFormat="1" applyFont="1" applyBorder="1"/>
    <xf numFmtId="0" fontId="9" fillId="0" borderId="20" xfId="0" applyFont="1" applyFill="1" applyBorder="1" applyAlignment="1">
      <alignment horizontal="center"/>
    </xf>
    <xf numFmtId="0" fontId="8" fillId="0" borderId="28" xfId="0" applyFont="1" applyBorder="1"/>
    <xf numFmtId="3" fontId="9" fillId="0" borderId="26" xfId="0" applyNumberFormat="1" applyFont="1" applyFill="1" applyBorder="1"/>
    <xf numFmtId="3" fontId="8" fillId="2" borderId="29" xfId="0" applyNumberFormat="1" applyFont="1" applyFill="1" applyBorder="1"/>
    <xf numFmtId="0" fontId="8" fillId="0" borderId="29" xfId="0" applyFont="1" applyBorder="1"/>
    <xf numFmtId="2" fontId="9" fillId="0" borderId="30" xfId="0" applyNumberFormat="1" applyFont="1" applyFill="1" applyBorder="1"/>
    <xf numFmtId="0" fontId="8" fillId="2" borderId="31" xfId="0" applyFont="1" applyFill="1" applyBorder="1"/>
    <xf numFmtId="0" fontId="8" fillId="0" borderId="32" xfId="0" applyFont="1" applyFill="1" applyBorder="1"/>
    <xf numFmtId="3" fontId="10" fillId="0" borderId="0" xfId="0" applyNumberFormat="1" applyFont="1" applyBorder="1"/>
    <xf numFmtId="3" fontId="10" fillId="0" borderId="33" xfId="0" applyNumberFormat="1" applyFont="1" applyBorder="1"/>
    <xf numFmtId="0" fontId="0" fillId="1" borderId="34" xfId="0" applyFill="1" applyBorder="1"/>
    <xf numFmtId="0" fontId="0" fillId="1" borderId="35" xfId="0" applyFill="1" applyBorder="1"/>
    <xf numFmtId="0" fontId="8" fillId="0" borderId="17" xfId="0" applyFont="1" applyBorder="1"/>
    <xf numFmtId="0" fontId="8" fillId="0" borderId="36" xfId="0" applyFont="1" applyBorder="1"/>
    <xf numFmtId="0" fontId="8" fillId="0" borderId="37" xfId="0" applyFont="1" applyBorder="1"/>
    <xf numFmtId="3" fontId="8" fillId="1" borderId="30" xfId="0" applyNumberFormat="1" applyFont="1" applyFill="1" applyBorder="1"/>
    <xf numFmtId="3" fontId="8" fillId="2" borderId="38" xfId="0" applyNumberFormat="1" applyFont="1" applyFill="1" applyBorder="1"/>
    <xf numFmtId="0" fontId="8" fillId="0" borderId="38" xfId="0" applyFont="1" applyBorder="1"/>
    <xf numFmtId="0" fontId="8" fillId="0" borderId="24" xfId="0" applyFont="1" applyBorder="1"/>
    <xf numFmtId="0" fontId="8" fillId="0" borderId="39" xfId="0" applyFont="1" applyBorder="1"/>
    <xf numFmtId="2" fontId="8" fillId="0" borderId="35" xfId="0" applyNumberFormat="1" applyFont="1" applyBorder="1"/>
    <xf numFmtId="0" fontId="8" fillId="3" borderId="36" xfId="0" applyFont="1" applyFill="1" applyBorder="1"/>
    <xf numFmtId="3" fontId="8" fillId="1" borderId="26" xfId="0" applyNumberFormat="1" applyFont="1" applyFill="1" applyBorder="1"/>
    <xf numFmtId="0" fontId="8" fillId="0" borderId="31" xfId="0" applyFont="1" applyBorder="1"/>
    <xf numFmtId="2" fontId="8" fillId="3" borderId="35" xfId="0" applyNumberFormat="1" applyFont="1" applyFill="1" applyBorder="1"/>
    <xf numFmtId="0" fontId="11" fillId="4" borderId="40" xfId="0" applyFont="1" applyFill="1" applyBorder="1"/>
    <xf numFmtId="2" fontId="12" fillId="4" borderId="35" xfId="0" applyNumberFormat="1" applyFont="1" applyFill="1" applyBorder="1"/>
    <xf numFmtId="3" fontId="8" fillId="1" borderId="41" xfId="0" applyNumberFormat="1" applyFont="1" applyFill="1" applyBorder="1"/>
    <xf numFmtId="3" fontId="8" fillId="1" borderId="42" xfId="0" applyNumberFormat="1" applyFont="1" applyFill="1" applyBorder="1"/>
    <xf numFmtId="4" fontId="12" fillId="4" borderId="41" xfId="0" applyNumberFormat="1" applyFont="1" applyFill="1" applyBorder="1"/>
    <xf numFmtId="0" fontId="8" fillId="1" borderId="41" xfId="0" applyFont="1" applyFill="1" applyBorder="1"/>
    <xf numFmtId="164" fontId="8" fillId="3" borderId="43" xfId="0" applyNumberFormat="1" applyFont="1" applyFill="1" applyBorder="1"/>
    <xf numFmtId="0" fontId="8" fillId="1" borderId="44" xfId="0" applyFont="1" applyFill="1" applyBorder="1"/>
    <xf numFmtId="2" fontId="12" fillId="4" borderId="14" xfId="0" applyNumberFormat="1" applyFont="1" applyFill="1" applyBorder="1"/>
    <xf numFmtId="164" fontId="8" fillId="0" borderId="31" xfId="0" applyNumberFormat="1" applyFont="1" applyBorder="1"/>
    <xf numFmtId="3" fontId="8" fillId="1" borderId="38" xfId="0" applyNumberFormat="1" applyFont="1" applyFill="1" applyBorder="1"/>
    <xf numFmtId="3" fontId="8" fillId="1" borderId="29" xfId="0" applyNumberFormat="1" applyFont="1" applyFill="1" applyBorder="1"/>
    <xf numFmtId="0" fontId="11" fillId="4" borderId="45" xfId="0" applyFont="1" applyFill="1" applyBorder="1"/>
    <xf numFmtId="3" fontId="8" fillId="1" borderId="46" xfId="0" applyNumberFormat="1" applyFont="1" applyFill="1" applyBorder="1"/>
    <xf numFmtId="4" fontId="12" fillId="4" borderId="46" xfId="0" applyNumberFormat="1" applyFont="1" applyFill="1" applyBorder="1"/>
    <xf numFmtId="0" fontId="8" fillId="1" borderId="46" xfId="0" applyFont="1" applyFill="1" applyBorder="1"/>
    <xf numFmtId="164" fontId="8" fillId="3" borderId="47" xfId="0" applyNumberFormat="1" applyFont="1" applyFill="1" applyBorder="1"/>
    <xf numFmtId="0" fontId="8" fillId="1" borderId="48" xfId="0" applyFont="1" applyFill="1" applyBorder="1"/>
    <xf numFmtId="0" fontId="11" fillId="0" borderId="2" xfId="0" applyFont="1" applyFill="1" applyBorder="1"/>
    <xf numFmtId="2" fontId="12" fillId="0" borderId="2" xfId="0" applyNumberFormat="1" applyFont="1" applyFill="1" applyBorder="1"/>
    <xf numFmtId="3" fontId="8" fillId="0" borderId="2" xfId="0" applyNumberFormat="1" applyFont="1" applyFill="1" applyBorder="1"/>
    <xf numFmtId="4" fontId="12" fillId="0" borderId="2" xfId="0" applyNumberFormat="1" applyFont="1" applyFill="1" applyBorder="1"/>
    <xf numFmtId="0" fontId="8" fillId="0" borderId="2" xfId="0" applyFont="1" applyFill="1" applyBorder="1"/>
    <xf numFmtId="164" fontId="8" fillId="0" borderId="2" xfId="0" applyNumberFormat="1" applyFont="1" applyFill="1" applyBorder="1"/>
    <xf numFmtId="3" fontId="8" fillId="0" borderId="49" xfId="0" applyNumberFormat="1" applyFont="1" applyBorder="1" applyAlignment="1">
      <alignment horizontal="center"/>
    </xf>
    <xf numFmtId="0" fontId="13" fillId="5" borderId="0" xfId="0" applyFont="1" applyFill="1" applyBorder="1"/>
    <xf numFmtId="0" fontId="8" fillId="0" borderId="0" xfId="0" applyFont="1"/>
    <xf numFmtId="2" fontId="8" fillId="0" borderId="0" xfId="0" applyNumberFormat="1" applyFont="1"/>
    <xf numFmtId="0" fontId="0" fillId="0" borderId="0" xfId="0" applyBorder="1"/>
    <xf numFmtId="0" fontId="11" fillId="0" borderId="0" xfId="0" applyFont="1" applyFill="1" applyBorder="1" applyAlignment="1">
      <alignment horizontal="left"/>
    </xf>
    <xf numFmtId="2" fontId="12" fillId="0" borderId="0" xfId="0" applyNumberFormat="1" applyFont="1" applyFill="1" applyBorder="1"/>
    <xf numFmtId="3" fontId="8" fillId="0" borderId="0" xfId="0" applyNumberFormat="1" applyFont="1" applyFill="1" applyBorder="1" applyAlignment="1">
      <alignment horizontal="right"/>
    </xf>
    <xf numFmtId="165" fontId="8" fillId="0" borderId="0" xfId="1" applyNumberFormat="1" applyFont="1" applyAlignment="1">
      <alignment horizontal="left"/>
    </xf>
    <xf numFmtId="3" fontId="8" fillId="6" borderId="49" xfId="0" applyNumberFormat="1" applyFont="1" applyFill="1" applyBorder="1"/>
    <xf numFmtId="0" fontId="14" fillId="0" borderId="0" xfId="0" applyFont="1" applyFill="1" applyBorder="1" applyAlignment="1">
      <alignment horizontal="left"/>
    </xf>
    <xf numFmtId="3" fontId="15" fillId="0" borderId="0" xfId="0" applyNumberFormat="1" applyFont="1" applyFill="1" applyBorder="1" applyAlignment="1">
      <alignment horizontal="right"/>
    </xf>
    <xf numFmtId="0" fontId="18" fillId="0" borderId="50" xfId="0" applyFont="1" applyBorder="1" applyAlignment="1">
      <alignment vertical="center"/>
    </xf>
    <xf numFmtId="0" fontId="18" fillId="0" borderId="3" xfId="0" applyFont="1" applyBorder="1" applyAlignment="1">
      <alignment vertical="center"/>
    </xf>
    <xf numFmtId="0" fontId="19" fillId="0" borderId="3" xfId="0" applyFont="1" applyBorder="1" applyAlignment="1">
      <alignment vertical="center"/>
    </xf>
    <xf numFmtId="0" fontId="20" fillId="0" borderId="50" xfId="0" applyFont="1" applyBorder="1" applyAlignment="1">
      <alignment horizontal="center"/>
    </xf>
    <xf numFmtId="0" fontId="20" fillId="0" borderId="51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0" fillId="0" borderId="52" xfId="0" applyFont="1" applyBorder="1"/>
    <xf numFmtId="0" fontId="20" fillId="5" borderId="52" xfId="0" applyFont="1" applyFill="1" applyBorder="1"/>
    <xf numFmtId="0" fontId="20" fillId="2" borderId="52" xfId="0" applyFont="1" applyFill="1" applyBorder="1"/>
    <xf numFmtId="167" fontId="20" fillId="0" borderId="52" xfId="1" applyNumberFormat="1" applyFont="1" applyBorder="1" applyAlignment="1"/>
    <xf numFmtId="0" fontId="20" fillId="0" borderId="33" xfId="0" applyFont="1" applyBorder="1"/>
    <xf numFmtId="0" fontId="20" fillId="6" borderId="33" xfId="0" applyFont="1" applyFill="1" applyBorder="1"/>
    <xf numFmtId="0" fontId="20" fillId="2" borderId="33" xfId="0" applyFont="1" applyFill="1" applyBorder="1"/>
    <xf numFmtId="167" fontId="20" fillId="0" borderId="33" xfId="1" applyNumberFormat="1" applyFont="1" applyBorder="1" applyAlignment="1"/>
    <xf numFmtId="3" fontId="21" fillId="0" borderId="33" xfId="0" applyNumberFormat="1" applyFont="1" applyBorder="1"/>
    <xf numFmtId="165" fontId="20" fillId="2" borderId="33" xfId="1" applyNumberFormat="1" applyFont="1" applyFill="1" applyBorder="1"/>
    <xf numFmtId="3" fontId="20" fillId="6" borderId="33" xfId="0" applyNumberFormat="1" applyFont="1" applyFill="1" applyBorder="1"/>
    <xf numFmtId="0" fontId="20" fillId="0" borderId="41" xfId="0" applyFont="1" applyBorder="1"/>
    <xf numFmtId="3" fontId="20" fillId="0" borderId="41" xfId="0" applyNumberFormat="1" applyFont="1" applyBorder="1"/>
    <xf numFmtId="165" fontId="20" fillId="2" borderId="41" xfId="1" applyNumberFormat="1" applyFont="1" applyFill="1" applyBorder="1"/>
    <xf numFmtId="167" fontId="20" fillId="0" borderId="41" xfId="1" applyNumberFormat="1" applyFont="1" applyBorder="1" applyAlignment="1"/>
    <xf numFmtId="0" fontId="20" fillId="0" borderId="53" xfId="0" applyFont="1" applyBorder="1"/>
    <xf numFmtId="0" fontId="20" fillId="5" borderId="53" xfId="0" applyFont="1" applyFill="1" applyBorder="1"/>
    <xf numFmtId="0" fontId="20" fillId="2" borderId="53" xfId="0" applyFont="1" applyFill="1" applyBorder="1"/>
    <xf numFmtId="167" fontId="20" fillId="0" borderId="53" xfId="1" applyNumberFormat="1" applyFont="1" applyBorder="1" applyAlignment="1"/>
    <xf numFmtId="0" fontId="20" fillId="0" borderId="46" xfId="0" applyFont="1" applyBorder="1"/>
    <xf numFmtId="165" fontId="20" fillId="2" borderId="46" xfId="1" applyNumberFormat="1" applyFont="1" applyFill="1" applyBorder="1"/>
    <xf numFmtId="167" fontId="20" fillId="0" borderId="46" xfId="1" applyNumberFormat="1" applyFont="1" applyBorder="1" applyAlignment="1"/>
    <xf numFmtId="0" fontId="20" fillId="0" borderId="0" xfId="0" applyFont="1"/>
    <xf numFmtId="167" fontId="20" fillId="0" borderId="16" xfId="1" applyNumberFormat="1" applyFont="1" applyBorder="1" applyAlignment="1">
      <alignment horizontal="center"/>
    </xf>
    <xf numFmtId="165" fontId="20" fillId="0" borderId="16" xfId="1" applyNumberFormat="1" applyFont="1" applyBorder="1" applyAlignment="1">
      <alignment horizontal="center"/>
    </xf>
    <xf numFmtId="0" fontId="22" fillId="0" borderId="0" xfId="0" applyFont="1"/>
    <xf numFmtId="10" fontId="23" fillId="0" borderId="4" xfId="0" applyNumberFormat="1" applyFont="1" applyBorder="1"/>
    <xf numFmtId="3" fontId="23" fillId="6" borderId="49" xfId="0" applyNumberFormat="1" applyFont="1" applyFill="1" applyBorder="1"/>
    <xf numFmtId="167" fontId="20" fillId="0" borderId="0" xfId="1" applyNumberFormat="1" applyFont="1"/>
    <xf numFmtId="3" fontId="20" fillId="0" borderId="52" xfId="0" applyNumberFormat="1" applyFont="1" applyBorder="1"/>
    <xf numFmtId="3" fontId="20" fillId="0" borderId="54" xfId="0" applyNumberFormat="1" applyFont="1" applyBorder="1"/>
    <xf numFmtId="3" fontId="20" fillId="0" borderId="33" xfId="0" applyNumberFormat="1" applyFont="1" applyBorder="1"/>
    <xf numFmtId="3" fontId="20" fillId="0" borderId="35" xfId="0" applyNumberFormat="1" applyFont="1" applyBorder="1"/>
    <xf numFmtId="3" fontId="20" fillId="0" borderId="43" xfId="0" applyNumberFormat="1" applyFont="1" applyBorder="1"/>
    <xf numFmtId="3" fontId="20" fillId="6" borderId="46" xfId="0" applyNumberFormat="1" applyFont="1" applyFill="1" applyBorder="1"/>
    <xf numFmtId="3" fontId="20" fillId="6" borderId="41" xfId="0" applyNumberFormat="1" applyFont="1" applyFill="1" applyBorder="1"/>
    <xf numFmtId="0" fontId="17" fillId="0" borderId="15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165" fontId="20" fillId="0" borderId="59" xfId="1" applyNumberFormat="1" applyFont="1" applyBorder="1" applyAlignment="1">
      <alignment horizontal="center" vertical="center"/>
    </xf>
    <xf numFmtId="165" fontId="20" fillId="0" borderId="35" xfId="1" applyNumberFormat="1" applyFont="1" applyBorder="1" applyAlignment="1">
      <alignment horizontal="center" vertical="center"/>
    </xf>
    <xf numFmtId="165" fontId="20" fillId="0" borderId="47" xfId="1" applyNumberFormat="1" applyFont="1" applyBorder="1" applyAlignment="1">
      <alignment horizontal="center" vertical="center"/>
    </xf>
    <xf numFmtId="0" fontId="20" fillId="0" borderId="57" xfId="0" applyFont="1" applyBorder="1" applyAlignment="1">
      <alignment horizontal="center" vertical="center"/>
    </xf>
    <xf numFmtId="0" fontId="20" fillId="0" borderId="39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167" fontId="20" fillId="0" borderId="7" xfId="1" applyNumberFormat="1" applyFont="1" applyBorder="1" applyAlignment="1">
      <alignment horizontal="center" vertical="center"/>
    </xf>
    <xf numFmtId="167" fontId="20" fillId="0" borderId="56" xfId="1" applyNumberFormat="1" applyFont="1" applyBorder="1" applyAlignment="1">
      <alignment horizontal="center" vertical="center"/>
    </xf>
    <xf numFmtId="167" fontId="20" fillId="0" borderId="13" xfId="1" applyNumberFormat="1" applyFont="1" applyBorder="1" applyAlignment="1">
      <alignment horizontal="center" vertical="center"/>
    </xf>
    <xf numFmtId="165" fontId="20" fillId="0" borderId="54" xfId="1" applyNumberFormat="1" applyFont="1" applyBorder="1" applyAlignment="1">
      <alignment horizontal="center" vertical="center"/>
    </xf>
    <xf numFmtId="165" fontId="20" fillId="0" borderId="43" xfId="1" applyNumberFormat="1" applyFont="1" applyBorder="1" applyAlignment="1">
      <alignment horizontal="center" vertical="center"/>
    </xf>
    <xf numFmtId="3" fontId="15" fillId="0" borderId="0" xfId="0" applyNumberFormat="1" applyFont="1" applyFill="1" applyBorder="1" applyAlignment="1">
      <alignment horizontal="center"/>
    </xf>
    <xf numFmtId="3" fontId="8" fillId="0" borderId="0" xfId="0" applyNumberFormat="1" applyFont="1" applyFill="1" applyBorder="1" applyAlignment="1">
      <alignment horizontal="center"/>
    </xf>
    <xf numFmtId="4" fontId="8" fillId="0" borderId="9" xfId="0" applyNumberFormat="1" applyFont="1" applyBorder="1" applyAlignment="1">
      <alignment horizontal="center" vertical="center"/>
    </xf>
    <xf numFmtId="4" fontId="8" fillId="0" borderId="55" xfId="0" applyNumberFormat="1" applyFont="1" applyBorder="1" applyAlignment="1">
      <alignment horizontal="center" vertical="center"/>
    </xf>
    <xf numFmtId="4" fontId="8" fillId="0" borderId="16" xfId="0" applyNumberFormat="1" applyFont="1" applyBorder="1" applyAlignment="1">
      <alignment horizontal="center" vertical="center"/>
    </xf>
    <xf numFmtId="3" fontId="10" fillId="0" borderId="9" xfId="0" applyNumberFormat="1" applyFont="1" applyBorder="1" applyAlignment="1">
      <alignment horizontal="center" vertical="top"/>
    </xf>
    <xf numFmtId="3" fontId="10" fillId="0" borderId="55" xfId="0" applyNumberFormat="1" applyFont="1" applyBorder="1" applyAlignment="1">
      <alignment horizontal="center" vertical="top"/>
    </xf>
    <xf numFmtId="3" fontId="10" fillId="0" borderId="16" xfId="0" applyNumberFormat="1" applyFont="1" applyBorder="1" applyAlignment="1">
      <alignment horizontal="center" vertical="top"/>
    </xf>
    <xf numFmtId="0" fontId="23" fillId="6" borderId="49" xfId="0" applyFont="1" applyFill="1" applyBorder="1" applyAlignment="1">
      <alignment horizontal="center"/>
    </xf>
    <xf numFmtId="0" fontId="20" fillId="0" borderId="58" xfId="0" applyFont="1" applyBorder="1" applyAlignment="1">
      <alignment horizontal="center" vertical="center"/>
    </xf>
    <xf numFmtId="0" fontId="20" fillId="0" borderId="48" xfId="0" applyFont="1" applyBorder="1" applyAlignment="1">
      <alignment horizontal="center" vertical="center"/>
    </xf>
    <xf numFmtId="0" fontId="8" fillId="6" borderId="49" xfId="0" applyFont="1" applyFill="1" applyBorder="1" applyAlignment="1">
      <alignment horizontal="center"/>
    </xf>
    <xf numFmtId="0" fontId="2" fillId="0" borderId="15" xfId="0" applyFont="1" applyBorder="1" applyAlignment="1">
      <alignment horizontal="center" vertical="center"/>
    </xf>
    <xf numFmtId="2" fontId="20" fillId="0" borderId="6" xfId="0" applyNumberFormat="1" applyFont="1" applyBorder="1" applyAlignment="1">
      <alignment horizontal="center" vertical="center" wrapText="1"/>
    </xf>
    <xf numFmtId="2" fontId="20" fillId="0" borderId="32" xfId="0" applyNumberFormat="1" applyFont="1" applyBorder="1" applyAlignment="1">
      <alignment horizontal="center" vertical="center" wrapText="1"/>
    </xf>
    <xf numFmtId="165" fontId="20" fillId="0" borderId="8" xfId="1" applyNumberFormat="1" applyFont="1" applyBorder="1" applyAlignment="1">
      <alignment horizontal="center" vertical="center"/>
    </xf>
    <xf numFmtId="165" fontId="20" fillId="0" borderId="36" xfId="1" applyNumberFormat="1" applyFont="1" applyBorder="1" applyAlignment="1">
      <alignment horizontal="center" vertical="center"/>
    </xf>
    <xf numFmtId="165" fontId="20" fillId="0" borderId="14" xfId="1" applyNumberFormat="1" applyFont="1" applyBorder="1" applyAlignment="1">
      <alignment horizontal="center" vertical="center"/>
    </xf>
    <xf numFmtId="2" fontId="20" fillId="0" borderId="12" xfId="0" applyNumberFormat="1" applyFont="1" applyBorder="1" applyAlignment="1">
      <alignment horizontal="center" vertical="center" wrapText="1"/>
    </xf>
    <xf numFmtId="0" fontId="7" fillId="0" borderId="60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8" fillId="0" borderId="33" xfId="0" applyFont="1" applyBorder="1"/>
    <xf numFmtId="0" fontId="8" fillId="6" borderId="4" xfId="0" applyFont="1" applyFill="1" applyBorder="1" applyAlignment="1">
      <alignment horizontal="center"/>
    </xf>
    <xf numFmtId="10" fontId="8" fillId="0" borderId="4" xfId="0" applyNumberFormat="1" applyFont="1" applyBorder="1"/>
    <xf numFmtId="3" fontId="12" fillId="0" borderId="33" xfId="0" applyNumberFormat="1" applyFont="1" applyFill="1" applyBorder="1"/>
    <xf numFmtId="0" fontId="8" fillId="0" borderId="33" xfId="0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"/>
  <sheetViews>
    <sheetView topLeftCell="A48" zoomScale="85" workbookViewId="0">
      <selection activeCell="J82" sqref="J82"/>
    </sheetView>
  </sheetViews>
  <sheetFormatPr defaultRowHeight="12.75" x14ac:dyDescent="0.2"/>
  <cols>
    <col min="1" max="1" width="16.42578125" customWidth="1"/>
    <col min="2" max="2" width="14" bestFit="1" customWidth="1"/>
    <col min="3" max="3" width="14.28515625" bestFit="1" customWidth="1"/>
    <col min="4" max="4" width="18.28515625" bestFit="1" customWidth="1"/>
    <col min="5" max="5" width="18.7109375" customWidth="1"/>
    <col min="6" max="6" width="7.85546875" bestFit="1" customWidth="1"/>
    <col min="7" max="7" width="14.7109375" bestFit="1" customWidth="1"/>
    <col min="8" max="8" width="23.140625" customWidth="1"/>
    <col min="9" max="9" width="9.28515625" bestFit="1" customWidth="1"/>
    <col min="10" max="10" width="13.85546875" bestFit="1" customWidth="1"/>
    <col min="11" max="11" width="17.85546875" bestFit="1" customWidth="1"/>
    <col min="13" max="14" width="21.42578125" customWidth="1"/>
    <col min="15" max="16" width="19.28515625" customWidth="1"/>
    <col min="17" max="17" width="11.7109375" customWidth="1"/>
    <col min="18" max="19" width="16.140625" customWidth="1"/>
  </cols>
  <sheetData>
    <row r="1" spans="1:19" ht="25.5" thickBot="1" x14ac:dyDescent="0.25">
      <c r="A1" s="165" t="s">
        <v>0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M1" s="138" t="s">
        <v>52</v>
      </c>
      <c r="N1" s="138"/>
      <c r="O1" s="138"/>
      <c r="P1" s="138"/>
      <c r="Q1" s="138"/>
      <c r="R1" s="138"/>
      <c r="S1" s="138"/>
    </row>
    <row r="2" spans="1:19" ht="25.5" thickBot="1" x14ac:dyDescent="0.25">
      <c r="A2" s="1" t="s">
        <v>1</v>
      </c>
      <c r="B2" s="2"/>
      <c r="C2" s="3"/>
      <c r="D2" s="4"/>
      <c r="E2" s="5" t="s">
        <v>60</v>
      </c>
      <c r="F2" s="4"/>
      <c r="G2" s="4"/>
      <c r="H2" s="176" t="s">
        <v>61</v>
      </c>
      <c r="I2" s="176"/>
      <c r="J2" s="176"/>
      <c r="K2" s="177"/>
      <c r="M2" s="96" t="s">
        <v>53</v>
      </c>
      <c r="N2" s="97"/>
      <c r="O2" s="97"/>
      <c r="P2" s="98" t="s">
        <v>51</v>
      </c>
      <c r="Q2" s="175" t="str">
        <f>H2</f>
        <v>Divisi II Reguler</v>
      </c>
      <c r="R2" s="175"/>
      <c r="S2" s="174"/>
    </row>
    <row r="3" spans="1:19" ht="16.5" thickBot="1" x14ac:dyDescent="0.3">
      <c r="A3" s="6" t="s">
        <v>2</v>
      </c>
      <c r="B3" s="7"/>
      <c r="C3" s="8" t="s">
        <v>3</v>
      </c>
      <c r="D3" s="9" t="s">
        <v>4</v>
      </c>
      <c r="E3" s="9" t="s">
        <v>5</v>
      </c>
      <c r="F3" s="9" t="s">
        <v>5</v>
      </c>
      <c r="G3" s="10" t="s">
        <v>6</v>
      </c>
      <c r="H3" s="6" t="s">
        <v>7</v>
      </c>
      <c r="I3" s="11"/>
      <c r="J3" s="12" t="s">
        <v>8</v>
      </c>
      <c r="K3" s="12" t="s">
        <v>9</v>
      </c>
      <c r="M3" s="99" t="s">
        <v>2</v>
      </c>
      <c r="N3" s="100" t="s">
        <v>43</v>
      </c>
      <c r="O3" s="100" t="s">
        <v>12</v>
      </c>
      <c r="P3" s="100" t="s">
        <v>44</v>
      </c>
      <c r="Q3" s="100" t="s">
        <v>6</v>
      </c>
      <c r="R3" s="100" t="s">
        <v>50</v>
      </c>
      <c r="S3" s="101" t="s">
        <v>9</v>
      </c>
    </row>
    <row r="4" spans="1:19" ht="16.5" thickBot="1" x14ac:dyDescent="0.3">
      <c r="A4" s="13" t="s">
        <v>10</v>
      </c>
      <c r="B4" s="14"/>
      <c r="C4" s="15" t="s">
        <v>11</v>
      </c>
      <c r="D4" s="16" t="s">
        <v>12</v>
      </c>
      <c r="E4" s="16" t="s">
        <v>13</v>
      </c>
      <c r="F4" s="16" t="s">
        <v>6</v>
      </c>
      <c r="G4" s="17" t="s">
        <v>13</v>
      </c>
      <c r="H4" s="13" t="s">
        <v>14</v>
      </c>
      <c r="I4" s="18"/>
      <c r="J4" s="19" t="s">
        <v>15</v>
      </c>
      <c r="K4" s="19" t="s">
        <v>16</v>
      </c>
      <c r="M4" s="145" t="str">
        <f>A5</f>
        <v>NAMA 1</v>
      </c>
      <c r="N4" s="102" t="s">
        <v>18</v>
      </c>
      <c r="O4" s="103">
        <v>24</v>
      </c>
      <c r="P4" s="104">
        <v>23</v>
      </c>
      <c r="Q4" s="105">
        <f>IF(P4&gt;(90%*O4),P4/O4,0)</f>
        <v>0.95833333333333337</v>
      </c>
      <c r="R4" s="148">
        <f>IF(P7&gt;100000000,SUM(Q4:Q9),0)</f>
        <v>2.8344867586603102</v>
      </c>
      <c r="S4" s="151">
        <f>R4/R$34*R$37</f>
        <v>443904.81713899958</v>
      </c>
    </row>
    <row r="5" spans="1:19" ht="15.75" x14ac:dyDescent="0.25">
      <c r="A5" s="172" t="s">
        <v>62</v>
      </c>
      <c r="B5" s="173"/>
      <c r="C5" s="20" t="s">
        <v>56</v>
      </c>
      <c r="D5" s="21">
        <v>900000000</v>
      </c>
      <c r="E5" s="22">
        <v>1041476639</v>
      </c>
      <c r="F5" s="23">
        <v>1</v>
      </c>
      <c r="G5" s="24">
        <f>IF(E5*100/D5&lt;E$12,0,E5*F5*100/D5)</f>
        <v>115.71962655555555</v>
      </c>
      <c r="H5" s="25" t="s">
        <v>17</v>
      </c>
      <c r="I5" s="26">
        <f>165/5*4.5</f>
        <v>148.5</v>
      </c>
      <c r="J5" s="155">
        <f>IF(E9&gt;=100000000,B11*G12*I11,0)</f>
        <v>2333069.8166149743</v>
      </c>
      <c r="K5" s="158">
        <f>J5/J$45*G$50</f>
        <v>872630.87943492481</v>
      </c>
      <c r="M5" s="146"/>
      <c r="N5" s="106" t="s">
        <v>45</v>
      </c>
      <c r="O5" s="107">
        <f>6*O4</f>
        <v>144</v>
      </c>
      <c r="P5" s="108">
        <v>212</v>
      </c>
      <c r="Q5" s="109">
        <f>IF(P5&gt;(75%*O5),P5/O5,0)</f>
        <v>1.4722222222222223</v>
      </c>
      <c r="R5" s="149"/>
      <c r="S5" s="143"/>
    </row>
    <row r="6" spans="1:19" ht="15.75" x14ac:dyDescent="0.25">
      <c r="A6" s="27" t="s">
        <v>18</v>
      </c>
      <c r="B6" s="28">
        <v>24</v>
      </c>
      <c r="C6" s="20" t="s">
        <v>57</v>
      </c>
      <c r="D6" s="21">
        <v>6000000</v>
      </c>
      <c r="E6" s="22">
        <v>8816272</v>
      </c>
      <c r="F6" s="23">
        <v>1.1499999999999999</v>
      </c>
      <c r="G6" s="24">
        <f>IF(E6*100/D6&lt;E$12,0,E6*F6*100/D6)</f>
        <v>168.97854666666666</v>
      </c>
      <c r="H6" s="29" t="s">
        <v>19</v>
      </c>
      <c r="I6" s="30">
        <f>111+87-45</f>
        <v>153</v>
      </c>
      <c r="J6" s="156"/>
      <c r="K6" s="159"/>
      <c r="M6" s="146"/>
      <c r="N6" s="106" t="s">
        <v>46</v>
      </c>
      <c r="O6" s="106">
        <v>7</v>
      </c>
      <c r="P6" s="108">
        <f>891/212</f>
        <v>4.2028301886792452</v>
      </c>
      <c r="Q6" s="109">
        <f>IF(P6&gt;(50%*O6),P6/O6,0)</f>
        <v>0.60040431266846361</v>
      </c>
      <c r="R6" s="149"/>
      <c r="S6" s="143"/>
    </row>
    <row r="7" spans="1:19" ht="15.75" x14ac:dyDescent="0.25">
      <c r="A7" s="25" t="s">
        <v>20</v>
      </c>
      <c r="B7" s="31">
        <v>23</v>
      </c>
      <c r="C7" s="20" t="s">
        <v>58</v>
      </c>
      <c r="D7" s="32">
        <f>89600000+8500000</f>
        <v>98100000</v>
      </c>
      <c r="E7" s="22">
        <f>103381111+10277327</f>
        <v>113658438</v>
      </c>
      <c r="F7" s="23">
        <v>1.3</v>
      </c>
      <c r="G7" s="24">
        <f>IF(E7*100/D7&lt;E$12,0,E7*F7*100/D7)</f>
        <v>150.61770581039755</v>
      </c>
      <c r="H7" s="33" t="s">
        <v>21</v>
      </c>
      <c r="I7" s="34">
        <f>100*I6/I5</f>
        <v>103.03030303030303</v>
      </c>
      <c r="J7" s="156"/>
      <c r="K7" s="159"/>
      <c r="M7" s="146"/>
      <c r="N7" s="106" t="s">
        <v>47</v>
      </c>
      <c r="O7" s="110">
        <v>1286800000</v>
      </c>
      <c r="P7" s="111">
        <v>821096105</v>
      </c>
      <c r="Q7" s="109">
        <f>IF(P7&gt;(90%*O7),P7/O7,0)</f>
        <v>0</v>
      </c>
      <c r="R7" s="149"/>
      <c r="S7" s="143"/>
    </row>
    <row r="8" spans="1:19" ht="15.75" x14ac:dyDescent="0.25">
      <c r="A8" s="25" t="s">
        <v>22</v>
      </c>
      <c r="B8" s="35">
        <v>42</v>
      </c>
      <c r="C8" s="36" t="s">
        <v>59</v>
      </c>
      <c r="D8" s="37">
        <f>30300000+188400000</f>
        <v>218700000</v>
      </c>
      <c r="E8" s="38">
        <f>120418559+25149892</f>
        <v>145568451</v>
      </c>
      <c r="F8" s="39">
        <v>1.5</v>
      </c>
      <c r="G8" s="24">
        <f>IF(E8*100/D8&lt;E$12,0,E8*F8*100/D8)</f>
        <v>0</v>
      </c>
      <c r="H8" s="27" t="s">
        <v>23</v>
      </c>
      <c r="I8" s="40">
        <v>7</v>
      </c>
      <c r="J8" s="156"/>
      <c r="K8" s="159"/>
      <c r="M8" s="146"/>
      <c r="N8" s="106" t="s">
        <v>48</v>
      </c>
      <c r="O8" s="112">
        <f>P7*1%</f>
        <v>8210961.0499999998</v>
      </c>
      <c r="P8" s="111">
        <v>10754887</v>
      </c>
      <c r="Q8" s="109">
        <f>IF(P8&gt;O8,P8/O8*-15%,P8/O8*-25%)</f>
        <v>-0.19647310956370936</v>
      </c>
      <c r="R8" s="149"/>
      <c r="S8" s="143"/>
    </row>
    <row r="9" spans="1:19" ht="16.5" thickBot="1" x14ac:dyDescent="0.3">
      <c r="A9" s="29" t="s">
        <v>24</v>
      </c>
      <c r="B9" s="41">
        <v>36</v>
      </c>
      <c r="C9" s="42" t="s">
        <v>25</v>
      </c>
      <c r="D9" s="43">
        <f>SUM(D5:D8)</f>
        <v>1222800000</v>
      </c>
      <c r="E9" s="44">
        <f>SUM(E5:E8)</f>
        <v>1309519800</v>
      </c>
      <c r="F9" s="45"/>
      <c r="G9" s="46"/>
      <c r="H9" s="29" t="s">
        <v>26</v>
      </c>
      <c r="I9" s="30">
        <f>(490+391)/(111+87)</f>
        <v>4.4494949494949498</v>
      </c>
      <c r="J9" s="156"/>
      <c r="K9" s="159"/>
      <c r="M9" s="147"/>
      <c r="N9" s="113" t="s">
        <v>49</v>
      </c>
      <c r="O9" s="112">
        <f>P7*1%</f>
        <v>8210961.0499999998</v>
      </c>
      <c r="P9" s="115"/>
      <c r="Q9" s="109">
        <f>IF(P9&gt;O9,P9/O9*-15%,P9/O9*-25%)</f>
        <v>0</v>
      </c>
      <c r="R9" s="150"/>
      <c r="S9" s="152"/>
    </row>
    <row r="10" spans="1:19" ht="15.75" x14ac:dyDescent="0.25">
      <c r="A10" s="47" t="s">
        <v>27</v>
      </c>
      <c r="B10" s="48">
        <f>B7*B9*100/(B6*B8)</f>
        <v>82.142857142857139</v>
      </c>
      <c r="C10" s="49" t="s">
        <v>28</v>
      </c>
      <c r="D10" s="50" t="s">
        <v>29</v>
      </c>
      <c r="E10" s="51">
        <v>10639936</v>
      </c>
      <c r="F10" s="52">
        <v>-2</v>
      </c>
      <c r="G10" s="53">
        <f>100*E10*F10/E9</f>
        <v>-1.6250133827682482</v>
      </c>
      <c r="H10" s="54" t="s">
        <v>30</v>
      </c>
      <c r="I10" s="55">
        <f>100*I9/I8</f>
        <v>63.564213564213567</v>
      </c>
      <c r="J10" s="156"/>
      <c r="K10" s="159"/>
      <c r="M10" s="145" t="str">
        <f>A13</f>
        <v>NAMA 2</v>
      </c>
      <c r="N10" s="102" t="s">
        <v>18</v>
      </c>
      <c r="O10" s="103">
        <f>O4</f>
        <v>24</v>
      </c>
      <c r="P10" s="104">
        <v>23</v>
      </c>
      <c r="Q10" s="105">
        <f>IF(P10&gt;(90%*O10),P10/O10,0)</f>
        <v>0.95833333333333337</v>
      </c>
      <c r="R10" s="148">
        <f>IF(P13&gt;100000000,SUM(Q10:Q15),0)</f>
        <v>3.1469058325610719</v>
      </c>
      <c r="S10" s="151">
        <f>R10/R$34*R$37</f>
        <v>492832.31043101306</v>
      </c>
    </row>
    <row r="11" spans="1:19" ht="15.75" x14ac:dyDescent="0.25">
      <c r="A11" s="47" t="s">
        <v>31</v>
      </c>
      <c r="B11" s="56">
        <f>IF(B10&lt;B12,0,B10)</f>
        <v>82.142857142857139</v>
      </c>
      <c r="C11" s="36" t="s">
        <v>32</v>
      </c>
      <c r="D11" s="57"/>
      <c r="E11" s="38">
        <v>0</v>
      </c>
      <c r="F11" s="39">
        <v>-1</v>
      </c>
      <c r="G11" s="58">
        <f>100*E11*F11/E9</f>
        <v>0</v>
      </c>
      <c r="H11" s="54" t="s">
        <v>33</v>
      </c>
      <c r="I11" s="59">
        <f>I7*I10/100</f>
        <v>65.490401854038225</v>
      </c>
      <c r="J11" s="156"/>
      <c r="K11" s="159"/>
      <c r="M11" s="146"/>
      <c r="N11" s="106" t="s">
        <v>45</v>
      </c>
      <c r="O11" s="107">
        <f>20*O10</f>
        <v>480</v>
      </c>
      <c r="P11" s="108">
        <v>212</v>
      </c>
      <c r="Q11" s="109">
        <f>IF(P11&gt;(75%*O11),P11/O11,0)</f>
        <v>0</v>
      </c>
      <c r="R11" s="149"/>
      <c r="S11" s="143"/>
    </row>
    <row r="12" spans="1:19" ht="16.5" thickBot="1" x14ac:dyDescent="0.3">
      <c r="A12" s="60" t="s">
        <v>34</v>
      </c>
      <c r="B12" s="61">
        <v>80</v>
      </c>
      <c r="C12" s="62"/>
      <c r="D12" s="63"/>
      <c r="E12" s="64">
        <v>85</v>
      </c>
      <c r="F12" s="65"/>
      <c r="G12" s="66">
        <f>SUM(G5:G11)</f>
        <v>433.69086564985145</v>
      </c>
      <c r="H12" s="67"/>
      <c r="I12" s="68">
        <v>80</v>
      </c>
      <c r="J12" s="157"/>
      <c r="K12" s="160"/>
      <c r="M12" s="146"/>
      <c r="N12" s="106" t="s">
        <v>46</v>
      </c>
      <c r="O12" s="106">
        <v>3</v>
      </c>
      <c r="P12" s="108">
        <f>891/ 212</f>
        <v>4.2028301886792452</v>
      </c>
      <c r="Q12" s="109">
        <f>IF(P12&gt;(50%*O12),P12/O12,0)</f>
        <v>1.4009433962264151</v>
      </c>
      <c r="R12" s="149"/>
      <c r="S12" s="143"/>
    </row>
    <row r="13" spans="1:19" ht="15.75" x14ac:dyDescent="0.25">
      <c r="A13" s="172" t="s">
        <v>63</v>
      </c>
      <c r="B13" s="173"/>
      <c r="C13" s="20" t="s">
        <v>56</v>
      </c>
      <c r="D13" s="32">
        <v>10000000</v>
      </c>
      <c r="E13" s="22">
        <v>10312609</v>
      </c>
      <c r="F13" s="23">
        <v>1</v>
      </c>
      <c r="G13" s="24">
        <f>IF(E13*100/D13&lt;E$20,0,E13*F13*100/D13)</f>
        <v>103.12609</v>
      </c>
      <c r="H13" s="25" t="s">
        <v>17</v>
      </c>
      <c r="I13" s="26">
        <f>495/5*4</f>
        <v>396</v>
      </c>
      <c r="J13" s="155">
        <f>IF(E17&gt;=100000000,B19*G20*I19,0)</f>
        <v>1385351.2454663604</v>
      </c>
      <c r="K13" s="158">
        <f>J13/J$45*G$50</f>
        <v>518158.63676619786</v>
      </c>
      <c r="M13" s="146"/>
      <c r="N13" s="106" t="s">
        <v>47</v>
      </c>
      <c r="O13" s="110">
        <v>154800000</v>
      </c>
      <c r="P13" s="111">
        <v>149869948</v>
      </c>
      <c r="Q13" s="109">
        <f>IF(P13&gt;(90%*O13),P13/O13,0)</f>
        <v>0.96815211886304908</v>
      </c>
      <c r="R13" s="149"/>
      <c r="S13" s="143"/>
    </row>
    <row r="14" spans="1:19" ht="15.75" x14ac:dyDescent="0.25">
      <c r="A14" s="27" t="s">
        <v>18</v>
      </c>
      <c r="B14" s="28">
        <f>B6</f>
        <v>24</v>
      </c>
      <c r="C14" s="20" t="s">
        <v>57</v>
      </c>
      <c r="D14" s="32">
        <v>120000000</v>
      </c>
      <c r="E14" s="22">
        <v>120250693</v>
      </c>
      <c r="F14" s="23">
        <v>1.1499999999999999</v>
      </c>
      <c r="G14" s="24">
        <f>IF(E14*100/D14&lt;E$20,0,E14*F14*100/D14)</f>
        <v>115.24024745833331</v>
      </c>
      <c r="H14" s="29" t="s">
        <v>19</v>
      </c>
      <c r="I14" s="30">
        <f>222+89+60</f>
        <v>371</v>
      </c>
      <c r="J14" s="156"/>
      <c r="K14" s="159"/>
      <c r="M14" s="146"/>
      <c r="N14" s="106" t="s">
        <v>48</v>
      </c>
      <c r="O14" s="112">
        <f>P13*1%</f>
        <v>1498699.48</v>
      </c>
      <c r="P14" s="111">
        <v>1082199</v>
      </c>
      <c r="Q14" s="109">
        <f>IF(P14&gt;O14,P14/O14*-15%,P14/O14*-25%)</f>
        <v>-0.18052301586172567</v>
      </c>
      <c r="R14" s="149"/>
      <c r="S14" s="143"/>
    </row>
    <row r="15" spans="1:19" ht="16.5" thickBot="1" x14ac:dyDescent="0.3">
      <c r="A15" s="25" t="s">
        <v>20</v>
      </c>
      <c r="B15" s="31">
        <v>24</v>
      </c>
      <c r="C15" s="20" t="s">
        <v>58</v>
      </c>
      <c r="D15" s="32">
        <f>1300000+2500000</f>
        <v>3800000</v>
      </c>
      <c r="E15" s="22">
        <f>368721+1859868</f>
        <v>2228589</v>
      </c>
      <c r="F15" s="23">
        <v>1.3</v>
      </c>
      <c r="G15" s="24">
        <f>IF(E15*100/D15&lt;E$20,0,E15*F15*100/D15)</f>
        <v>0</v>
      </c>
      <c r="H15" s="33" t="s">
        <v>21</v>
      </c>
      <c r="I15" s="34">
        <f>100*I14/I13</f>
        <v>93.686868686868692</v>
      </c>
      <c r="J15" s="156"/>
      <c r="K15" s="159"/>
      <c r="M15" s="147"/>
      <c r="N15" s="113" t="s">
        <v>49</v>
      </c>
      <c r="O15" s="112">
        <f>P13*1%</f>
        <v>1498699.48</v>
      </c>
      <c r="P15" s="115"/>
      <c r="Q15" s="109">
        <f>IF(P15&gt;O15,P15/O15*-15%,P15/O15*-25%)</f>
        <v>0</v>
      </c>
      <c r="R15" s="150"/>
      <c r="S15" s="152"/>
    </row>
    <row r="16" spans="1:19" ht="15.75" x14ac:dyDescent="0.25">
      <c r="A16" s="25" t="s">
        <v>22</v>
      </c>
      <c r="B16" s="35">
        <v>190</v>
      </c>
      <c r="C16" s="36" t="s">
        <v>59</v>
      </c>
      <c r="D16" s="37">
        <f>1000000+20000000</f>
        <v>21000000</v>
      </c>
      <c r="E16" s="38">
        <f>16874685+203372</f>
        <v>17078057</v>
      </c>
      <c r="F16" s="39">
        <v>1.5</v>
      </c>
      <c r="G16" s="69">
        <f>IF(E16*100/D16&lt;E$20,0,E16*F16*100/D16)</f>
        <v>0</v>
      </c>
      <c r="H16" s="27" t="s">
        <v>23</v>
      </c>
      <c r="I16" s="40">
        <v>3</v>
      </c>
      <c r="J16" s="156"/>
      <c r="K16" s="159"/>
      <c r="M16" s="162" t="str">
        <f>A21</f>
        <v>NAMA 3</v>
      </c>
      <c r="N16" s="117" t="s">
        <v>18</v>
      </c>
      <c r="O16" s="118">
        <f>O10</f>
        <v>24</v>
      </c>
      <c r="P16" s="119">
        <v>24</v>
      </c>
      <c r="Q16" s="105">
        <f>IF(P16&gt;(90%*O16),P16/O16,0)</f>
        <v>1</v>
      </c>
      <c r="R16" s="148">
        <f>IF(P19&gt;100000000,SUM(Q16:Q21),0)</f>
        <v>2.3805759714028896</v>
      </c>
      <c r="S16" s="142">
        <f>R16/R$34*R$37</f>
        <v>372818.51398401213</v>
      </c>
    </row>
    <row r="17" spans="1:19" ht="15.75" x14ac:dyDescent="0.25">
      <c r="A17" s="29" t="s">
        <v>24</v>
      </c>
      <c r="B17" s="41">
        <v>173</v>
      </c>
      <c r="C17" s="42" t="s">
        <v>25</v>
      </c>
      <c r="D17" s="43">
        <f>SUM(D13:D16)</f>
        <v>154800000</v>
      </c>
      <c r="E17" s="44">
        <f>SUM(E13:E16)</f>
        <v>149869948</v>
      </c>
      <c r="F17" s="45"/>
      <c r="G17" s="46"/>
      <c r="H17" s="29" t="s">
        <v>26</v>
      </c>
      <c r="I17" s="30">
        <f>(325+218)/(222+89)+0.5</f>
        <v>2.2459807073954985</v>
      </c>
      <c r="J17" s="156"/>
      <c r="K17" s="159"/>
      <c r="M17" s="146"/>
      <c r="N17" s="106" t="s">
        <v>45</v>
      </c>
      <c r="O17" s="107">
        <f>20*O16</f>
        <v>480</v>
      </c>
      <c r="P17" s="108">
        <v>313</v>
      </c>
      <c r="Q17" s="109">
        <f>IF(P17&gt;(75%*O17),P17/O17,0)</f>
        <v>0</v>
      </c>
      <c r="R17" s="149"/>
      <c r="S17" s="143"/>
    </row>
    <row r="18" spans="1:19" ht="15.75" x14ac:dyDescent="0.25">
      <c r="A18" s="47" t="s">
        <v>27</v>
      </c>
      <c r="B18" s="48">
        <f>B15*B17*100/(B14*B16)</f>
        <v>91.05263157894737</v>
      </c>
      <c r="C18" s="49" t="s">
        <v>28</v>
      </c>
      <c r="D18" s="50" t="s">
        <v>29</v>
      </c>
      <c r="E18" s="51">
        <v>1082199</v>
      </c>
      <c r="F18" s="52">
        <v>-2</v>
      </c>
      <c r="G18" s="53">
        <f>100*E18*F18/E17</f>
        <v>-1.4441841268938054</v>
      </c>
      <c r="H18" s="54" t="s">
        <v>30</v>
      </c>
      <c r="I18" s="55">
        <f>100*I17/I16</f>
        <v>74.866023579849951</v>
      </c>
      <c r="J18" s="156"/>
      <c r="K18" s="159"/>
      <c r="M18" s="146"/>
      <c r="N18" s="106" t="s">
        <v>46</v>
      </c>
      <c r="O18" s="106">
        <v>3</v>
      </c>
      <c r="P18" s="108">
        <v>1.63</v>
      </c>
      <c r="Q18" s="109">
        <f>IF(P18&gt;(50%*O18),P18/O18,0)</f>
        <v>0.54333333333333333</v>
      </c>
      <c r="R18" s="149"/>
      <c r="S18" s="143"/>
    </row>
    <row r="19" spans="1:19" ht="15.75" x14ac:dyDescent="0.25">
      <c r="A19" s="47" t="s">
        <v>31</v>
      </c>
      <c r="B19" s="56">
        <f>IF(B18&lt;B20,0,B18)</f>
        <v>91.05263157894737</v>
      </c>
      <c r="C19" s="36" t="s">
        <v>32</v>
      </c>
      <c r="D19" s="57"/>
      <c r="E19" s="38">
        <v>0</v>
      </c>
      <c r="F19" s="39">
        <v>-1</v>
      </c>
      <c r="G19" s="58">
        <f>100*E19*F19/E17</f>
        <v>0</v>
      </c>
      <c r="H19" s="54" t="s">
        <v>33</v>
      </c>
      <c r="I19" s="59">
        <f>I15*I18/100</f>
        <v>70.139633202334167</v>
      </c>
      <c r="J19" s="156"/>
      <c r="K19" s="159"/>
      <c r="M19" s="146"/>
      <c r="N19" s="106" t="s">
        <v>47</v>
      </c>
      <c r="O19" s="110">
        <v>115000000</v>
      </c>
      <c r="P19" s="111">
        <v>114869345</v>
      </c>
      <c r="Q19" s="109">
        <f>IF(P19&gt;(90%*O19),P19/O19,0)</f>
        <v>0.99886386956521744</v>
      </c>
      <c r="R19" s="149"/>
      <c r="S19" s="143"/>
    </row>
    <row r="20" spans="1:19" ht="16.5" thickBot="1" x14ac:dyDescent="0.3">
      <c r="A20" s="60" t="s">
        <v>34</v>
      </c>
      <c r="B20" s="64">
        <f>B12</f>
        <v>80</v>
      </c>
      <c r="C20" s="62"/>
      <c r="D20" s="63"/>
      <c r="E20" s="64">
        <f>E12</f>
        <v>85</v>
      </c>
      <c r="F20" s="65"/>
      <c r="G20" s="66">
        <f>SUM(G13:G19)</f>
        <v>216.92215333143949</v>
      </c>
      <c r="H20" s="67"/>
      <c r="I20" s="64">
        <f>I12</f>
        <v>80</v>
      </c>
      <c r="J20" s="157"/>
      <c r="K20" s="160"/>
      <c r="M20" s="146"/>
      <c r="N20" s="106" t="s">
        <v>48</v>
      </c>
      <c r="O20" s="112">
        <f>P19*1%</f>
        <v>1148693.45</v>
      </c>
      <c r="P20" s="111">
        <v>742613</v>
      </c>
      <c r="Q20" s="109">
        <f>IF(P20&gt;O20,P20/O20*-15%,P20/O20*-25%)</f>
        <v>-0.16162123149566146</v>
      </c>
      <c r="R20" s="149"/>
      <c r="S20" s="143"/>
    </row>
    <row r="21" spans="1:19" ht="16.5" thickBot="1" x14ac:dyDescent="0.3">
      <c r="A21" s="172" t="s">
        <v>64</v>
      </c>
      <c r="B21" s="173"/>
      <c r="C21" s="20" t="s">
        <v>56</v>
      </c>
      <c r="D21" s="32">
        <v>10000000</v>
      </c>
      <c r="E21" s="22">
        <v>18128819</v>
      </c>
      <c r="F21" s="23">
        <v>1</v>
      </c>
      <c r="G21" s="24">
        <f>IF(E21*100/D21&lt;E$28,0,E21*F21*100/D21)</f>
        <v>181.28818999999999</v>
      </c>
      <c r="H21" s="25" t="s">
        <v>17</v>
      </c>
      <c r="I21" s="26">
        <f>495/5*4</f>
        <v>396</v>
      </c>
      <c r="J21" s="155">
        <f>IF(E25&gt;=100000000,B27*G28*I27,0)</f>
        <v>1114067.7969109439</v>
      </c>
      <c r="K21" s="158">
        <f>J21/J$45*G$50</f>
        <v>416691.32849999191</v>
      </c>
      <c r="M21" s="163"/>
      <c r="N21" s="121" t="s">
        <v>49</v>
      </c>
      <c r="O21" s="112">
        <f>P19*1%</f>
        <v>1148693.45</v>
      </c>
      <c r="P21" s="122"/>
      <c r="Q21" s="109">
        <f>IF(P21&gt;O21,P21/O21*-15%,P21/O21*-25%)</f>
        <v>0</v>
      </c>
      <c r="R21" s="150"/>
      <c r="S21" s="144"/>
    </row>
    <row r="22" spans="1:19" ht="15.75" x14ac:dyDescent="0.25">
      <c r="A22" s="27" t="s">
        <v>18</v>
      </c>
      <c r="B22" s="28">
        <f>B14</f>
        <v>24</v>
      </c>
      <c r="C22" s="20" t="s">
        <v>57</v>
      </c>
      <c r="D22" s="32">
        <v>83500000</v>
      </c>
      <c r="E22" s="22">
        <v>85495210</v>
      </c>
      <c r="F22" s="23">
        <v>1.1499999999999999</v>
      </c>
      <c r="G22" s="24">
        <f>IF(E22*100/D22&lt;E$28,0,E22*F22*100/D22)</f>
        <v>117.74789401197603</v>
      </c>
      <c r="H22" s="29" t="s">
        <v>19</v>
      </c>
      <c r="I22" s="30">
        <f>232+81</f>
        <v>313</v>
      </c>
      <c r="J22" s="156"/>
      <c r="K22" s="159"/>
      <c r="M22" s="145" t="str">
        <f>A29</f>
        <v>NAMA 4</v>
      </c>
      <c r="N22" s="102" t="s">
        <v>18</v>
      </c>
      <c r="O22" s="103">
        <f>O16</f>
        <v>24</v>
      </c>
      <c r="P22" s="104">
        <v>24</v>
      </c>
      <c r="Q22" s="105">
        <f>IF(P22&gt;(90%*O22),P22/O22,0)</f>
        <v>1</v>
      </c>
      <c r="R22" s="148">
        <f>IF(P25&gt;100000000,SUM(Q22:Q27),0)</f>
        <v>0</v>
      </c>
      <c r="S22" s="151">
        <f>R22/R$34*R$37</f>
        <v>0</v>
      </c>
    </row>
    <row r="23" spans="1:19" ht="15.75" x14ac:dyDescent="0.25">
      <c r="A23" s="25" t="s">
        <v>20</v>
      </c>
      <c r="B23" s="31">
        <v>24</v>
      </c>
      <c r="C23" s="20" t="s">
        <v>58</v>
      </c>
      <c r="D23" s="32">
        <f>1000000+2500000</f>
        <v>3500000</v>
      </c>
      <c r="E23" s="22">
        <f>447555+1147493</f>
        <v>1595048</v>
      </c>
      <c r="F23" s="23">
        <v>1.3</v>
      </c>
      <c r="G23" s="24">
        <f>IF(E23*100/D23&lt;E$28,0,E23*F23*100/D23)</f>
        <v>0</v>
      </c>
      <c r="H23" s="33" t="s">
        <v>21</v>
      </c>
      <c r="I23" s="34">
        <f>100*I22/I21</f>
        <v>79.040404040404042</v>
      </c>
      <c r="J23" s="156"/>
      <c r="K23" s="159"/>
      <c r="M23" s="146"/>
      <c r="N23" s="106" t="s">
        <v>45</v>
      </c>
      <c r="O23" s="107">
        <f>20*O22</f>
        <v>480</v>
      </c>
      <c r="P23" s="108">
        <v>263</v>
      </c>
      <c r="Q23" s="109">
        <f>IF(P23&gt;(75%*O23),P23/O23,0)</f>
        <v>0</v>
      </c>
      <c r="R23" s="149"/>
      <c r="S23" s="143"/>
    </row>
    <row r="24" spans="1:19" ht="15.75" x14ac:dyDescent="0.25">
      <c r="A24" s="25" t="s">
        <v>22</v>
      </c>
      <c r="B24" s="35">
        <v>190</v>
      </c>
      <c r="C24" s="36" t="s">
        <v>59</v>
      </c>
      <c r="D24" s="37">
        <f>1000000+17000000</f>
        <v>18000000</v>
      </c>
      <c r="E24" s="38">
        <f>8828688+821580</f>
        <v>9650268</v>
      </c>
      <c r="F24" s="39">
        <v>1.5</v>
      </c>
      <c r="G24" s="24">
        <f>IF(E24*100/D24&lt;E$28,0,E24*F24*100/D24)</f>
        <v>0</v>
      </c>
      <c r="H24" s="27" t="s">
        <v>23</v>
      </c>
      <c r="I24" s="40">
        <v>3</v>
      </c>
      <c r="J24" s="156"/>
      <c r="K24" s="159"/>
      <c r="M24" s="146"/>
      <c r="N24" s="106" t="s">
        <v>46</v>
      </c>
      <c r="O24" s="106">
        <v>3</v>
      </c>
      <c r="P24" s="108">
        <v>2.5299999999999998</v>
      </c>
      <c r="Q24" s="109">
        <f>IF(P24&gt;(50%*O24),P24/O24,0)</f>
        <v>0.84333333333333327</v>
      </c>
      <c r="R24" s="149"/>
      <c r="S24" s="143"/>
    </row>
    <row r="25" spans="1:19" ht="15.75" x14ac:dyDescent="0.25">
      <c r="A25" s="29" t="s">
        <v>24</v>
      </c>
      <c r="B25" s="41">
        <v>166</v>
      </c>
      <c r="C25" s="42" t="s">
        <v>25</v>
      </c>
      <c r="D25" s="43">
        <f>SUM(D21:D24)</f>
        <v>115000000</v>
      </c>
      <c r="E25" s="44">
        <f>SUM(E21:E24)</f>
        <v>114869345</v>
      </c>
      <c r="F25" s="45"/>
      <c r="G25" s="46"/>
      <c r="H25" s="29" t="s">
        <v>26</v>
      </c>
      <c r="I25" s="30">
        <f>(419+266)/(232+266)+0.25</f>
        <v>1.6255020080321285</v>
      </c>
      <c r="J25" s="156"/>
      <c r="K25" s="159"/>
      <c r="M25" s="146"/>
      <c r="N25" s="106" t="s">
        <v>47</v>
      </c>
      <c r="O25" s="110">
        <v>101100000</v>
      </c>
      <c r="P25" s="111">
        <v>69258452</v>
      </c>
      <c r="Q25" s="109">
        <f>IF(P25&gt;(90%*O25),P25/O25,0)</f>
        <v>0</v>
      </c>
      <c r="R25" s="149"/>
      <c r="S25" s="143"/>
    </row>
    <row r="26" spans="1:19" ht="15.75" x14ac:dyDescent="0.25">
      <c r="A26" s="47" t="s">
        <v>27</v>
      </c>
      <c r="B26" s="48">
        <f>B23*B25*100/(B22*B24)</f>
        <v>87.368421052631575</v>
      </c>
      <c r="C26" s="49" t="s">
        <v>28</v>
      </c>
      <c r="D26" s="50" t="s">
        <v>29</v>
      </c>
      <c r="E26" s="51">
        <v>742613</v>
      </c>
      <c r="F26" s="52">
        <v>-2</v>
      </c>
      <c r="G26" s="53">
        <f>100*E26*F26/E25</f>
        <v>-1.2929698519652915</v>
      </c>
      <c r="H26" s="54" t="s">
        <v>30</v>
      </c>
      <c r="I26" s="55">
        <f>100*I25/I24</f>
        <v>54.183400267737618</v>
      </c>
      <c r="J26" s="156"/>
      <c r="K26" s="159"/>
      <c r="M26" s="146"/>
      <c r="N26" s="106" t="s">
        <v>48</v>
      </c>
      <c r="O26" s="112">
        <f>P25*1%</f>
        <v>692584.52</v>
      </c>
      <c r="P26" s="111">
        <v>306747</v>
      </c>
      <c r="Q26" s="109">
        <f>IF(P26&gt;O26,P26/O26*-15%,P26/O26*-25%)</f>
        <v>-0.11072547506548371</v>
      </c>
      <c r="R26" s="149"/>
      <c r="S26" s="143"/>
    </row>
    <row r="27" spans="1:19" ht="16.5" thickBot="1" x14ac:dyDescent="0.3">
      <c r="A27" s="47" t="s">
        <v>31</v>
      </c>
      <c r="B27" s="56">
        <f>IF(B26&lt;B28,0,B26)</f>
        <v>87.368421052631575</v>
      </c>
      <c r="C27" s="36" t="s">
        <v>32</v>
      </c>
      <c r="D27" s="57"/>
      <c r="E27" s="38">
        <v>0</v>
      </c>
      <c r="F27" s="39">
        <v>-1</v>
      </c>
      <c r="G27" s="58">
        <f>100*E27*F27/E25</f>
        <v>0</v>
      </c>
      <c r="H27" s="54" t="s">
        <v>33</v>
      </c>
      <c r="I27" s="59">
        <f>I23*I26/100</f>
        <v>42.826778494449179</v>
      </c>
      <c r="J27" s="156"/>
      <c r="K27" s="159"/>
      <c r="M27" s="147"/>
      <c r="N27" s="113" t="s">
        <v>49</v>
      </c>
      <c r="O27" s="112">
        <f>P25*1%</f>
        <v>692584.52</v>
      </c>
      <c r="P27" s="115"/>
      <c r="Q27" s="109">
        <f>IF(P27&gt;O27,P27/O27*-15%,P27/O27*-25%)</f>
        <v>0</v>
      </c>
      <c r="R27" s="150"/>
      <c r="S27" s="152"/>
    </row>
    <row r="28" spans="1:19" ht="16.5" thickBot="1" x14ac:dyDescent="0.3">
      <c r="A28" s="60" t="s">
        <v>34</v>
      </c>
      <c r="B28" s="64">
        <f>B20</f>
        <v>80</v>
      </c>
      <c r="C28" s="62"/>
      <c r="D28" s="63"/>
      <c r="E28" s="64">
        <f>E20</f>
        <v>85</v>
      </c>
      <c r="F28" s="65"/>
      <c r="G28" s="66">
        <f>SUM(G21:G27)</f>
        <v>297.74311416001075</v>
      </c>
      <c r="H28" s="67"/>
      <c r="I28" s="64">
        <f>I20</f>
        <v>80</v>
      </c>
      <c r="J28" s="157"/>
      <c r="K28" s="160"/>
      <c r="M28" s="145" t="str">
        <f>A37</f>
        <v>NAMA 5</v>
      </c>
      <c r="N28" s="102" t="s">
        <v>18</v>
      </c>
      <c r="O28" s="103">
        <f>O22</f>
        <v>24</v>
      </c>
      <c r="P28" s="104">
        <v>24</v>
      </c>
      <c r="Q28" s="105">
        <f>IF(P28&gt;(90%*O28),P28/O28,0)</f>
        <v>1</v>
      </c>
      <c r="R28" s="148">
        <f>IF(P31&gt;100000000,SUM(Q28:Q33),0)</f>
        <v>2.4337393861056196</v>
      </c>
      <c r="S28" s="151">
        <f>R28/R$34*R$37</f>
        <v>381144.35844597535</v>
      </c>
    </row>
    <row r="29" spans="1:19" ht="15.75" x14ac:dyDescent="0.25">
      <c r="A29" s="172" t="s">
        <v>65</v>
      </c>
      <c r="B29" s="173"/>
      <c r="C29" s="20" t="s">
        <v>56</v>
      </c>
      <c r="D29" s="32">
        <v>40000000</v>
      </c>
      <c r="E29" s="22">
        <v>16511884</v>
      </c>
      <c r="F29" s="23">
        <v>1</v>
      </c>
      <c r="G29" s="24">
        <f>IF(E29*100/D29&lt;E$36,0,E29*F29*100/D29)</f>
        <v>0</v>
      </c>
      <c r="H29" s="25" t="s">
        <v>17</v>
      </c>
      <c r="I29" s="26">
        <f>495/5*4</f>
        <v>396</v>
      </c>
      <c r="J29" s="155">
        <f>IF(E33&gt;=100000000,B35*G36*I35,0)</f>
        <v>0</v>
      </c>
      <c r="K29" s="158">
        <f>J29/J$45*G$50</f>
        <v>0</v>
      </c>
      <c r="M29" s="146"/>
      <c r="N29" s="106" t="s">
        <v>45</v>
      </c>
      <c r="O29" s="107">
        <f>20*O28</f>
        <v>480</v>
      </c>
      <c r="P29" s="108">
        <v>264</v>
      </c>
      <c r="Q29" s="109">
        <f>IF(P29&gt;(75%*O29),P29/O29,0)</f>
        <v>0</v>
      </c>
      <c r="R29" s="149"/>
      <c r="S29" s="143"/>
    </row>
    <row r="30" spans="1:19" ht="15.75" x14ac:dyDescent="0.25">
      <c r="A30" s="27" t="s">
        <v>18</v>
      </c>
      <c r="B30" s="28">
        <f>B22</f>
        <v>24</v>
      </c>
      <c r="C30" s="20" t="s">
        <v>57</v>
      </c>
      <c r="D30" s="32">
        <v>40000000</v>
      </c>
      <c r="E30" s="22">
        <v>40543736</v>
      </c>
      <c r="F30" s="23">
        <v>1.1499999999999999</v>
      </c>
      <c r="G30" s="24">
        <f>IF(E30*100/D30&lt;E$36,0,E30*F30*100/D30)</f>
        <v>116.563241</v>
      </c>
      <c r="H30" s="29" t="s">
        <v>19</v>
      </c>
      <c r="I30" s="30">
        <f>2+261</f>
        <v>263</v>
      </c>
      <c r="J30" s="156"/>
      <c r="K30" s="159"/>
      <c r="M30" s="146"/>
      <c r="N30" s="106" t="s">
        <v>46</v>
      </c>
      <c r="O30" s="106">
        <v>3</v>
      </c>
      <c r="P30" s="108">
        <v>2.0499999999999998</v>
      </c>
      <c r="Q30" s="109">
        <f>IF(P30&gt;(50%*O30),P30/O30,0)</f>
        <v>0.68333333333333324</v>
      </c>
      <c r="R30" s="149"/>
      <c r="S30" s="143"/>
    </row>
    <row r="31" spans="1:19" ht="15.75" x14ac:dyDescent="0.25">
      <c r="A31" s="25" t="s">
        <v>20</v>
      </c>
      <c r="B31" s="31">
        <v>24</v>
      </c>
      <c r="C31" s="20" t="s">
        <v>58</v>
      </c>
      <c r="D31" s="32">
        <f>1100000+2500000</f>
        <v>3600000</v>
      </c>
      <c r="E31" s="22">
        <f>1205476+614287</f>
        <v>1819763</v>
      </c>
      <c r="F31" s="23">
        <v>1.3</v>
      </c>
      <c r="G31" s="24">
        <f>IF(E31*100/D31&lt;E$36,0,E31*F31*100/D31)</f>
        <v>0</v>
      </c>
      <c r="H31" s="33" t="s">
        <v>21</v>
      </c>
      <c r="I31" s="34">
        <f>100*I30/I29</f>
        <v>66.414141414141412</v>
      </c>
      <c r="J31" s="156"/>
      <c r="K31" s="159"/>
      <c r="M31" s="146"/>
      <c r="N31" s="106" t="s">
        <v>47</v>
      </c>
      <c r="O31" s="110">
        <v>123200000</v>
      </c>
      <c r="P31" s="111">
        <v>121783907</v>
      </c>
      <c r="Q31" s="109">
        <f>IF(P31&gt;(90%*O31),P31/O31,0)</f>
        <v>0.9885057386363636</v>
      </c>
      <c r="R31" s="149"/>
      <c r="S31" s="143"/>
    </row>
    <row r="32" spans="1:19" ht="15.75" x14ac:dyDescent="0.25">
      <c r="A32" s="25" t="s">
        <v>22</v>
      </c>
      <c r="B32" s="35">
        <v>205</v>
      </c>
      <c r="C32" s="36" t="s">
        <v>59</v>
      </c>
      <c r="D32" s="37">
        <f>2500000+15000000</f>
        <v>17500000</v>
      </c>
      <c r="E32" s="38">
        <f>7083005+3300064</f>
        <v>10383069</v>
      </c>
      <c r="F32" s="39">
        <v>1.5</v>
      </c>
      <c r="G32" s="24">
        <f>IF(E32*100/D32&lt;E$36,0,E32*F32*100/D32)</f>
        <v>0</v>
      </c>
      <c r="H32" s="27" t="s">
        <v>23</v>
      </c>
      <c r="I32" s="40">
        <v>3</v>
      </c>
      <c r="J32" s="156"/>
      <c r="K32" s="159"/>
      <c r="M32" s="146"/>
      <c r="N32" s="106" t="s">
        <v>48</v>
      </c>
      <c r="O32" s="112">
        <f>P31*1%</f>
        <v>1217839.07</v>
      </c>
      <c r="P32" s="111">
        <v>1933114</v>
      </c>
      <c r="Q32" s="109">
        <f>IF(P32&gt;O32,P32/O32*-15%,P32/O32*-25%)</f>
        <v>-0.23809968586407723</v>
      </c>
      <c r="R32" s="149"/>
      <c r="S32" s="143"/>
    </row>
    <row r="33" spans="1:19" ht="16.5" thickBot="1" x14ac:dyDescent="0.3">
      <c r="A33" s="29" t="s">
        <v>24</v>
      </c>
      <c r="B33" s="41">
        <v>181</v>
      </c>
      <c r="C33" s="42" t="s">
        <v>25</v>
      </c>
      <c r="D33" s="43">
        <f>SUM(D29:D32)</f>
        <v>101100000</v>
      </c>
      <c r="E33" s="44">
        <f>SUM(E29:E32)</f>
        <v>69258452</v>
      </c>
      <c r="F33" s="45"/>
      <c r="G33" s="46"/>
      <c r="H33" s="29" t="s">
        <v>26</v>
      </c>
      <c r="I33" s="30">
        <f>(5+661)/(2+261)</f>
        <v>2.5323193916349811</v>
      </c>
      <c r="J33" s="156"/>
      <c r="K33" s="159"/>
      <c r="M33" s="147"/>
      <c r="N33" s="113" t="s">
        <v>49</v>
      </c>
      <c r="O33" s="112">
        <f>P31*1%</f>
        <v>1217839.07</v>
      </c>
      <c r="P33" s="115"/>
      <c r="Q33" s="116">
        <f>IF(P33&gt;O33,P33/O33*-15%,P33/O33*-25%)</f>
        <v>0</v>
      </c>
      <c r="R33" s="150"/>
      <c r="S33" s="152"/>
    </row>
    <row r="34" spans="1:19" ht="16.5" thickBot="1" x14ac:dyDescent="0.3">
      <c r="A34" s="47" t="s">
        <v>27</v>
      </c>
      <c r="B34" s="48">
        <f>B31*B33*100/(B30*B32)</f>
        <v>88.292682926829272</v>
      </c>
      <c r="C34" s="49" t="s">
        <v>28</v>
      </c>
      <c r="D34" s="50" t="s">
        <v>29</v>
      </c>
      <c r="E34" s="51">
        <v>306747</v>
      </c>
      <c r="F34" s="52">
        <v>-2</v>
      </c>
      <c r="G34" s="53">
        <f>100*E34*F34/E33</f>
        <v>-0.88580380052386964</v>
      </c>
      <c r="H34" s="54" t="s">
        <v>30</v>
      </c>
      <c r="I34" s="55">
        <f>100*I33/I32</f>
        <v>84.410646387832699</v>
      </c>
      <c r="J34" s="156"/>
      <c r="K34" s="159"/>
      <c r="M34" s="124"/>
      <c r="N34" s="124"/>
      <c r="O34" s="124"/>
      <c r="P34" s="124"/>
      <c r="Q34" s="130"/>
      <c r="R34" s="125">
        <f>SUM(R4:R33)</f>
        <v>10.795707948729891</v>
      </c>
      <c r="S34" s="126">
        <f>SUM(S4:S33)</f>
        <v>1690700</v>
      </c>
    </row>
    <row r="35" spans="1:19" ht="15" thickBot="1" x14ac:dyDescent="0.25">
      <c r="A35" s="47" t="s">
        <v>31</v>
      </c>
      <c r="B35" s="56">
        <f>IF(B34&lt;B36,0,B34)</f>
        <v>88.292682926829272</v>
      </c>
      <c r="C35" s="36" t="s">
        <v>32</v>
      </c>
      <c r="D35" s="57"/>
      <c r="E35" s="38">
        <v>0</v>
      </c>
      <c r="F35" s="39">
        <v>-1</v>
      </c>
      <c r="G35" s="58">
        <f>100*E35*F35/E33</f>
        <v>0</v>
      </c>
      <c r="H35" s="54" t="s">
        <v>33</v>
      </c>
      <c r="I35" s="59">
        <f>I31*I34/100</f>
        <v>56.060606060606062</v>
      </c>
      <c r="J35" s="156"/>
      <c r="K35" s="159"/>
      <c r="M35" s="127"/>
      <c r="N35" s="127"/>
      <c r="O35" s="127"/>
      <c r="P35" s="127"/>
      <c r="Q35" s="127"/>
      <c r="R35" s="127"/>
      <c r="S35" s="127"/>
    </row>
    <row r="36" spans="1:19" ht="15.75" thickBot="1" x14ac:dyDescent="0.3">
      <c r="A36" s="60" t="s">
        <v>34</v>
      </c>
      <c r="B36" s="64">
        <f>B28</f>
        <v>80</v>
      </c>
      <c r="C36" s="62"/>
      <c r="D36" s="63"/>
      <c r="E36" s="64">
        <f>E28</f>
        <v>85</v>
      </c>
      <c r="F36" s="65"/>
      <c r="G36" s="66">
        <f>SUM(G29:G35)</f>
        <v>115.67743719947613</v>
      </c>
      <c r="H36" s="67"/>
      <c r="I36" s="64">
        <f>I28</f>
        <v>80</v>
      </c>
      <c r="J36" s="157"/>
      <c r="K36" s="160"/>
      <c r="M36" s="127"/>
      <c r="N36" s="127"/>
      <c r="O36" s="127"/>
      <c r="P36" s="127"/>
      <c r="Q36" s="161" t="s">
        <v>38</v>
      </c>
      <c r="R36" s="161"/>
      <c r="S36" s="127"/>
    </row>
    <row r="37" spans="1:19" ht="16.5" thickBot="1" x14ac:dyDescent="0.3">
      <c r="A37" s="172" t="s">
        <v>66</v>
      </c>
      <c r="B37" s="173"/>
      <c r="C37" s="20" t="s">
        <v>56</v>
      </c>
      <c r="D37" s="32">
        <v>10000000</v>
      </c>
      <c r="E37" s="22">
        <v>6476526</v>
      </c>
      <c r="F37" s="23">
        <v>1</v>
      </c>
      <c r="G37" s="24">
        <f>IF(E37*100/D37&lt;E$44,0,E37*F37*100/D37)</f>
        <v>0</v>
      </c>
      <c r="H37" s="25" t="s">
        <v>17</v>
      </c>
      <c r="I37" s="26">
        <f>495/5*4</f>
        <v>396</v>
      </c>
      <c r="J37" s="155">
        <f>IF(E41&gt;=100000000,B43*G44*I43,0)</f>
        <v>1515984.9460369705</v>
      </c>
      <c r="K37" s="158">
        <f>J37/J$45*G$50</f>
        <v>567019.15529888554</v>
      </c>
      <c r="M37" s="139" t="s">
        <v>25</v>
      </c>
      <c r="N37" s="102" t="s">
        <v>47</v>
      </c>
      <c r="O37" s="131">
        <f>O7+O13+O19+O25+O31</f>
        <v>1780900000</v>
      </c>
      <c r="P37" s="132">
        <f>P7+P13+P19+P25+P31-P25</f>
        <v>1207619305</v>
      </c>
      <c r="Q37" s="128">
        <v>1.4E-3</v>
      </c>
      <c r="R37" s="129">
        <f>CEILING(P37*Q37,100)</f>
        <v>1690700</v>
      </c>
      <c r="S37" s="127"/>
    </row>
    <row r="38" spans="1:19" ht="15.75" x14ac:dyDescent="0.25">
      <c r="A38" s="27" t="s">
        <v>18</v>
      </c>
      <c r="B38" s="28">
        <f>B30</f>
        <v>24</v>
      </c>
      <c r="C38" s="20" t="s">
        <v>57</v>
      </c>
      <c r="D38" s="32">
        <v>84000000</v>
      </c>
      <c r="E38" s="22">
        <v>84221138</v>
      </c>
      <c r="F38" s="23">
        <v>1.1499999999999999</v>
      </c>
      <c r="G38" s="24">
        <f>IF(E38*100/D38&lt;E$44,0,E38*F38*100/D38)</f>
        <v>115.30274845238092</v>
      </c>
      <c r="H38" s="29" t="s">
        <v>19</v>
      </c>
      <c r="I38" s="30">
        <f>202+92-30</f>
        <v>264</v>
      </c>
      <c r="J38" s="156"/>
      <c r="K38" s="159"/>
      <c r="M38" s="140"/>
      <c r="N38" s="106" t="s">
        <v>48</v>
      </c>
      <c r="O38" s="133">
        <f>O8+O14+O20+O26+O32</f>
        <v>12768777.569999998</v>
      </c>
      <c r="P38" s="134">
        <f>P8+P14+P20+P26+P32</f>
        <v>14819560</v>
      </c>
      <c r="Q38" s="127"/>
      <c r="R38" s="127"/>
      <c r="S38" s="127"/>
    </row>
    <row r="39" spans="1:19" ht="16.5" thickBot="1" x14ac:dyDescent="0.3">
      <c r="A39" s="25" t="s">
        <v>20</v>
      </c>
      <c r="B39" s="31">
        <v>24</v>
      </c>
      <c r="C39" s="20" t="s">
        <v>58</v>
      </c>
      <c r="D39" s="32">
        <f>7000000+2500000</f>
        <v>9500000</v>
      </c>
      <c r="E39" s="22">
        <f>6947069+3303363</f>
        <v>10250432</v>
      </c>
      <c r="F39" s="23">
        <v>1.3</v>
      </c>
      <c r="G39" s="24">
        <f>IF(E39*100/D39&lt;E$44,0,E39*F39*100/D39)</f>
        <v>140.2690694736842</v>
      </c>
      <c r="H39" s="33" t="s">
        <v>21</v>
      </c>
      <c r="I39" s="34">
        <f>100*I38/I37</f>
        <v>66.666666666666671</v>
      </c>
      <c r="J39" s="156"/>
      <c r="K39" s="159"/>
      <c r="M39" s="141"/>
      <c r="N39" s="113" t="s">
        <v>49</v>
      </c>
      <c r="O39" s="114">
        <f>O9+O15+O21+O27+O33</f>
        <v>12768777.569999998</v>
      </c>
      <c r="P39" s="135">
        <f>P9+P15+P21+P27+P33</f>
        <v>0</v>
      </c>
      <c r="Q39" s="127"/>
      <c r="R39" s="127"/>
      <c r="S39" s="127"/>
    </row>
    <row r="40" spans="1:19" ht="14.25" x14ac:dyDescent="0.2">
      <c r="A40" s="25" t="s">
        <v>22</v>
      </c>
      <c r="B40" s="35">
        <v>205</v>
      </c>
      <c r="C40" s="36" t="s">
        <v>59</v>
      </c>
      <c r="D40" s="37">
        <f>1700000+18000000</f>
        <v>19700000</v>
      </c>
      <c r="E40" s="38">
        <f>19177318+1658493</f>
        <v>20835811</v>
      </c>
      <c r="F40" s="39">
        <v>1.5</v>
      </c>
      <c r="G40" s="24">
        <f>IF(E40*100/D40&lt;E$44,0,E40*F40*100/D40)</f>
        <v>158.64830710659899</v>
      </c>
      <c r="H40" s="27" t="s">
        <v>23</v>
      </c>
      <c r="I40" s="40">
        <v>3</v>
      </c>
      <c r="J40" s="156"/>
      <c r="K40" s="159"/>
    </row>
    <row r="41" spans="1:19" ht="14.25" x14ac:dyDescent="0.2">
      <c r="A41" s="29" t="s">
        <v>24</v>
      </c>
      <c r="B41" s="41">
        <v>166</v>
      </c>
      <c r="C41" s="42" t="s">
        <v>25</v>
      </c>
      <c r="D41" s="43">
        <f>SUM(D37:D40)</f>
        <v>123200000</v>
      </c>
      <c r="E41" s="44">
        <f>SUM(E37:E40)</f>
        <v>121783907</v>
      </c>
      <c r="F41" s="45"/>
      <c r="G41" s="46"/>
      <c r="H41" s="29" t="s">
        <v>26</v>
      </c>
      <c r="I41" s="30">
        <f>(428+309)/(142+92)-1.1</f>
        <v>2.0495726495726494</v>
      </c>
      <c r="J41" s="156"/>
      <c r="K41" s="159"/>
    </row>
    <row r="42" spans="1:19" ht="14.25" x14ac:dyDescent="0.2">
      <c r="A42" s="47" t="s">
        <v>27</v>
      </c>
      <c r="B42" s="48">
        <f>B39*B41*100/(B38*B40)</f>
        <v>80.975609756097555</v>
      </c>
      <c r="C42" s="49" t="s">
        <v>28</v>
      </c>
      <c r="D42" s="70" t="s">
        <v>29</v>
      </c>
      <c r="E42" s="51">
        <v>1933114</v>
      </c>
      <c r="F42" s="52">
        <v>-2</v>
      </c>
      <c r="G42" s="53">
        <f>100*E42*F42/E41</f>
        <v>-3.1746624781876966</v>
      </c>
      <c r="H42" s="54" t="s">
        <v>30</v>
      </c>
      <c r="I42" s="55">
        <f>100*I41/I40</f>
        <v>68.319088319088323</v>
      </c>
      <c r="J42" s="156"/>
      <c r="K42" s="159"/>
    </row>
    <row r="43" spans="1:19" ht="14.25" x14ac:dyDescent="0.2">
      <c r="A43" s="47" t="s">
        <v>31</v>
      </c>
      <c r="B43" s="56">
        <f>IF(B42&lt;B44,0,B42)</f>
        <v>80.975609756097555</v>
      </c>
      <c r="C43" s="36" t="s">
        <v>32</v>
      </c>
      <c r="D43" s="71"/>
      <c r="E43" s="38">
        <v>0</v>
      </c>
      <c r="F43" s="39">
        <v>-1</v>
      </c>
      <c r="G43" s="58">
        <f>100*E43*F43/E41</f>
        <v>0</v>
      </c>
      <c r="H43" s="54" t="s">
        <v>33</v>
      </c>
      <c r="I43" s="59">
        <f>I39*I42/100</f>
        <v>45.54605887939222</v>
      </c>
      <c r="J43" s="156"/>
      <c r="K43" s="159"/>
    </row>
    <row r="44" spans="1:19" ht="15" thickBot="1" x14ac:dyDescent="0.25">
      <c r="A44" s="72" t="s">
        <v>34</v>
      </c>
      <c r="B44" s="64">
        <f>B36</f>
        <v>80</v>
      </c>
      <c r="C44" s="73"/>
      <c r="D44" s="73"/>
      <c r="E44" s="74">
        <f>E36</f>
        <v>85</v>
      </c>
      <c r="F44" s="75"/>
      <c r="G44" s="76">
        <f>SUM(G37:G43)</f>
        <v>411.04546255447639</v>
      </c>
      <c r="H44" s="77"/>
      <c r="I44" s="64">
        <f>I36</f>
        <v>80</v>
      </c>
      <c r="J44" s="157"/>
      <c r="K44" s="160"/>
    </row>
    <row r="45" spans="1:19" ht="15" thickBot="1" x14ac:dyDescent="0.25">
      <c r="A45" s="78"/>
      <c r="B45" s="79"/>
      <c r="C45" s="80"/>
      <c r="D45" s="80"/>
      <c r="E45" s="81"/>
      <c r="F45" s="82"/>
      <c r="G45" s="83"/>
      <c r="H45" s="82"/>
      <c r="I45" s="79"/>
      <c r="J45" s="84">
        <f>SUM(J5:J44)</f>
        <v>6348473.8050292488</v>
      </c>
      <c r="K45" s="84">
        <f>SUM(K5:K44)</f>
        <v>2374500</v>
      </c>
    </row>
    <row r="46" spans="1:19" ht="14.25" x14ac:dyDescent="0.2">
      <c r="A46" s="85" t="s">
        <v>35</v>
      </c>
      <c r="B46" s="86"/>
      <c r="C46" s="178" t="s">
        <v>56</v>
      </c>
      <c r="D46" s="181">
        <f t="shared" ref="D46:E49" si="0">D5+D13+D21+D29+D37</f>
        <v>970000000</v>
      </c>
      <c r="E46" s="181">
        <f t="shared" si="0"/>
        <v>1092906477</v>
      </c>
      <c r="F46" s="86"/>
      <c r="G46" s="86"/>
      <c r="H46" s="86"/>
      <c r="I46" s="87"/>
      <c r="J46" s="88"/>
      <c r="K46" s="88"/>
    </row>
    <row r="47" spans="1:19" ht="14.25" x14ac:dyDescent="0.2">
      <c r="A47" s="86"/>
      <c r="B47" s="86"/>
      <c r="C47" s="178" t="s">
        <v>57</v>
      </c>
      <c r="D47" s="181">
        <f t="shared" si="0"/>
        <v>333500000</v>
      </c>
      <c r="E47" s="181">
        <f t="shared" si="0"/>
        <v>339327049</v>
      </c>
      <c r="F47" s="86"/>
      <c r="G47" s="86"/>
      <c r="H47" s="89" t="s">
        <v>36</v>
      </c>
      <c r="I47" s="154" t="s">
        <v>37</v>
      </c>
      <c r="J47" s="154"/>
      <c r="K47" s="154"/>
    </row>
    <row r="48" spans="1:19" ht="15" thickBot="1" x14ac:dyDescent="0.25">
      <c r="A48" s="86"/>
      <c r="B48" s="86"/>
      <c r="C48" s="178" t="s">
        <v>58</v>
      </c>
      <c r="D48" s="181">
        <f t="shared" si="0"/>
        <v>118500000</v>
      </c>
      <c r="E48" s="181">
        <f t="shared" si="0"/>
        <v>129552270</v>
      </c>
      <c r="F48" s="86"/>
      <c r="G48" s="86"/>
      <c r="H48" s="89"/>
      <c r="I48" s="90"/>
      <c r="J48" s="91"/>
      <c r="K48" s="91"/>
    </row>
    <row r="49" spans="1:11" ht="15" thickBot="1" x14ac:dyDescent="0.25">
      <c r="A49" s="86"/>
      <c r="B49" s="86"/>
      <c r="C49" s="178" t="s">
        <v>59</v>
      </c>
      <c r="D49" s="181">
        <f t="shared" si="0"/>
        <v>294900000</v>
      </c>
      <c r="E49" s="181">
        <f t="shared" si="0"/>
        <v>203515656</v>
      </c>
      <c r="F49" s="179" t="s">
        <v>38</v>
      </c>
      <c r="G49" s="164"/>
      <c r="H49" s="89"/>
      <c r="I49" s="90"/>
      <c r="J49" s="91"/>
      <c r="K49" s="91"/>
    </row>
    <row r="50" spans="1:11" ht="15" thickBot="1" x14ac:dyDescent="0.25">
      <c r="A50" s="92"/>
      <c r="B50" s="86"/>
      <c r="C50" s="182" t="s">
        <v>39</v>
      </c>
      <c r="D50" s="181">
        <f>D9+D17+D25+D33+D41</f>
        <v>1716900000</v>
      </c>
      <c r="E50" s="181">
        <f>E9+E17+E25+E33+E41-E33</f>
        <v>1696043000</v>
      </c>
      <c r="F50" s="180">
        <v>1.4E-3</v>
      </c>
      <c r="G50" s="93">
        <f>CEILING(E50*F50,100)</f>
        <v>2374500</v>
      </c>
      <c r="H50" s="89"/>
      <c r="I50" s="90"/>
      <c r="J50" s="91"/>
      <c r="K50" s="91"/>
    </row>
    <row r="51" spans="1:11" ht="14.25" x14ac:dyDescent="0.2">
      <c r="A51" s="86"/>
      <c r="B51" s="86"/>
      <c r="C51" s="178" t="s">
        <v>28</v>
      </c>
      <c r="D51" s="178"/>
      <c r="E51" s="181">
        <f>E10+E18+E26+E34+E42</f>
        <v>14704609</v>
      </c>
      <c r="F51" s="86"/>
      <c r="G51" s="86"/>
      <c r="H51" s="94"/>
      <c r="I51" s="153"/>
      <c r="J51" s="153"/>
      <c r="K51" s="95"/>
    </row>
    <row r="52" spans="1:11" ht="14.25" x14ac:dyDescent="0.2">
      <c r="A52" s="86"/>
      <c r="B52" s="86"/>
      <c r="C52" s="178" t="s">
        <v>32</v>
      </c>
      <c r="D52" s="178"/>
      <c r="E52" s="181">
        <f>E11+E19+E27+E35+E43</f>
        <v>0</v>
      </c>
      <c r="F52" s="86"/>
      <c r="G52" s="86"/>
      <c r="H52" s="89" t="s">
        <v>40</v>
      </c>
      <c r="I52" s="154" t="s">
        <v>41</v>
      </c>
      <c r="J52" s="154"/>
      <c r="K52" s="91" t="s">
        <v>42</v>
      </c>
    </row>
  </sheetData>
  <mergeCells count="40">
    <mergeCell ref="A21:B21"/>
    <mergeCell ref="A29:B29"/>
    <mergeCell ref="A37:B37"/>
    <mergeCell ref="Q2:S2"/>
    <mergeCell ref="H2:K2"/>
    <mergeCell ref="A1:K1"/>
    <mergeCell ref="J5:J12"/>
    <mergeCell ref="K5:K12"/>
    <mergeCell ref="J13:J20"/>
    <mergeCell ref="K13:K20"/>
    <mergeCell ref="A5:B5"/>
    <mergeCell ref="A13:B13"/>
    <mergeCell ref="R4:R9"/>
    <mergeCell ref="M4:M9"/>
    <mergeCell ref="M16:M21"/>
    <mergeCell ref="R16:R21"/>
    <mergeCell ref="R10:R15"/>
    <mergeCell ref="F49:G49"/>
    <mergeCell ref="J21:J28"/>
    <mergeCell ref="K21:K28"/>
    <mergeCell ref="J29:J36"/>
    <mergeCell ref="K29:K36"/>
    <mergeCell ref="I51:J51"/>
    <mergeCell ref="I52:J52"/>
    <mergeCell ref="M28:M33"/>
    <mergeCell ref="R28:R33"/>
    <mergeCell ref="J37:J44"/>
    <mergeCell ref="K37:K44"/>
    <mergeCell ref="I47:K47"/>
    <mergeCell ref="Q36:R36"/>
    <mergeCell ref="M1:S1"/>
    <mergeCell ref="M37:M39"/>
    <mergeCell ref="S16:S21"/>
    <mergeCell ref="M22:M27"/>
    <mergeCell ref="R22:R27"/>
    <mergeCell ref="S22:S27"/>
    <mergeCell ref="S4:S9"/>
    <mergeCell ref="M10:M15"/>
    <mergeCell ref="S10:S15"/>
    <mergeCell ref="S28:S33"/>
  </mergeCells>
  <phoneticPr fontId="16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workbookViewId="0">
      <selection sqref="A1:G1"/>
    </sheetView>
  </sheetViews>
  <sheetFormatPr defaultRowHeight="12.75" x14ac:dyDescent="0.2"/>
  <cols>
    <col min="1" max="1" width="14.140625" customWidth="1"/>
    <col min="2" max="2" width="19.42578125" customWidth="1"/>
    <col min="3" max="3" width="12.7109375" bestFit="1" customWidth="1"/>
    <col min="4" max="4" width="16.5703125" bestFit="1" customWidth="1"/>
    <col min="5" max="5" width="9.42578125" bestFit="1" customWidth="1"/>
    <col min="6" max="6" width="14.42578125" bestFit="1" customWidth="1"/>
    <col min="7" max="7" width="16.28515625" customWidth="1"/>
  </cols>
  <sheetData>
    <row r="1" spans="1:7" ht="23.25" thickBot="1" x14ac:dyDescent="0.25">
      <c r="A1" s="138" t="s">
        <v>52</v>
      </c>
      <c r="B1" s="138"/>
      <c r="C1" s="138"/>
      <c r="D1" s="138"/>
      <c r="E1" s="138"/>
      <c r="F1" s="138"/>
      <c r="G1" s="138"/>
    </row>
    <row r="2" spans="1:7" ht="21" thickBot="1" x14ac:dyDescent="0.25">
      <c r="A2" s="96" t="s">
        <v>53</v>
      </c>
      <c r="B2" s="97"/>
      <c r="C2" s="175" t="str">
        <f>'Insetive Sales 1'!E2</f>
        <v>MARET 2017</v>
      </c>
      <c r="D2" s="175"/>
      <c r="E2" s="175" t="s">
        <v>67</v>
      </c>
      <c r="F2" s="175"/>
      <c r="G2" s="174"/>
    </row>
    <row r="3" spans="1:7" ht="16.5" thickBot="1" x14ac:dyDescent="0.3">
      <c r="A3" s="99" t="s">
        <v>2</v>
      </c>
      <c r="B3" s="100" t="s">
        <v>43</v>
      </c>
      <c r="C3" s="100" t="s">
        <v>12</v>
      </c>
      <c r="D3" s="100" t="s">
        <v>44</v>
      </c>
      <c r="E3" s="100" t="s">
        <v>6</v>
      </c>
      <c r="F3" s="100" t="s">
        <v>50</v>
      </c>
      <c r="G3" s="101" t="s">
        <v>9</v>
      </c>
    </row>
    <row r="4" spans="1:7" ht="15.75" x14ac:dyDescent="0.25">
      <c r="A4" s="166" t="s">
        <v>62</v>
      </c>
      <c r="B4" s="102" t="s">
        <v>18</v>
      </c>
      <c r="C4" s="103">
        <v>24</v>
      </c>
      <c r="D4" s="104">
        <v>23</v>
      </c>
      <c r="E4" s="109">
        <f>IF(D4&gt;(90%*C4),D4/C4,0)</f>
        <v>0.95833333333333337</v>
      </c>
      <c r="F4" s="148">
        <f>IF(D7&gt;75%*D7,SUM(E5:E9)/5,0)</f>
        <v>0.16066666666666668</v>
      </c>
      <c r="G4" s="168">
        <f>350000*F4*E4</f>
        <v>53890.277777777781</v>
      </c>
    </row>
    <row r="5" spans="1:7" ht="15.75" x14ac:dyDescent="0.25">
      <c r="A5" s="167"/>
      <c r="B5" s="106" t="s">
        <v>45</v>
      </c>
      <c r="C5" s="107">
        <f>25*C4</f>
        <v>600</v>
      </c>
      <c r="D5" s="108">
        <v>482</v>
      </c>
      <c r="E5" s="109">
        <f>IF(D5&gt;(75%*C5),D5/C5,0)</f>
        <v>0.80333333333333334</v>
      </c>
      <c r="F5" s="149"/>
      <c r="G5" s="169"/>
    </row>
    <row r="6" spans="1:7" ht="15.75" x14ac:dyDescent="0.25">
      <c r="A6" s="167"/>
      <c r="B6" s="106" t="s">
        <v>46</v>
      </c>
      <c r="C6" s="106">
        <v>3</v>
      </c>
      <c r="D6" s="108">
        <f>151/482</f>
        <v>0.31327800829875518</v>
      </c>
      <c r="E6" s="109">
        <f>IF(D6&gt;(75%*C6),D6/C6,0)</f>
        <v>0</v>
      </c>
      <c r="F6" s="149"/>
      <c r="G6" s="169"/>
    </row>
    <row r="7" spans="1:7" ht="15.75" x14ac:dyDescent="0.25">
      <c r="A7" s="167"/>
      <c r="B7" s="106" t="s">
        <v>47</v>
      </c>
      <c r="C7" s="110">
        <f>350000*C4</f>
        <v>8400000</v>
      </c>
      <c r="D7" s="111">
        <v>5669742</v>
      </c>
      <c r="E7" s="109">
        <f>IF(D7&gt;(75%*C7),D7/C7,0)</f>
        <v>0</v>
      </c>
      <c r="F7" s="149"/>
      <c r="G7" s="169"/>
    </row>
    <row r="8" spans="1:7" ht="15.75" x14ac:dyDescent="0.25">
      <c r="A8" s="167"/>
      <c r="B8" s="106" t="s">
        <v>54</v>
      </c>
      <c r="C8" s="112">
        <v>4</v>
      </c>
      <c r="D8" s="111">
        <v>0</v>
      </c>
      <c r="E8" s="109">
        <f>IF(D8&gt;(75%*C8),D8/C8,0)</f>
        <v>0</v>
      </c>
      <c r="F8" s="149"/>
      <c r="G8" s="169"/>
    </row>
    <row r="9" spans="1:7" ht="16.5" thickBot="1" x14ac:dyDescent="0.3">
      <c r="A9" s="167"/>
      <c r="B9" s="121" t="s">
        <v>55</v>
      </c>
      <c r="C9" s="136">
        <v>2</v>
      </c>
      <c r="D9" s="122">
        <v>0</v>
      </c>
      <c r="E9" s="123">
        <f>IF(D9&gt;(75%*C9),D9/C9,0)</f>
        <v>0</v>
      </c>
      <c r="F9" s="150"/>
      <c r="G9" s="170"/>
    </row>
    <row r="10" spans="1:7" ht="15.75" customHeight="1" x14ac:dyDescent="0.25">
      <c r="A10" s="166" t="s">
        <v>63</v>
      </c>
      <c r="B10" s="102" t="s">
        <v>18</v>
      </c>
      <c r="C10" s="103">
        <v>24</v>
      </c>
      <c r="D10" s="104">
        <v>24</v>
      </c>
      <c r="E10" s="105">
        <f>IF(D10&gt;(90%*C10),D10/C10,0)</f>
        <v>1</v>
      </c>
      <c r="F10" s="148">
        <f>IF(D13&gt;75%*D13,SUM(E11:E15)/5,0)</f>
        <v>0.32500714285714283</v>
      </c>
      <c r="G10" s="168">
        <f>350000*F10*E10</f>
        <v>113752.49999999999</v>
      </c>
    </row>
    <row r="11" spans="1:7" ht="15.75" x14ac:dyDescent="0.25">
      <c r="A11" s="167"/>
      <c r="B11" s="106" t="s">
        <v>45</v>
      </c>
      <c r="C11" s="107">
        <f>25*C10</f>
        <v>600</v>
      </c>
      <c r="D11" s="108">
        <v>511</v>
      </c>
      <c r="E11" s="109">
        <f>IF(D11&gt;(75%*C11),D11/C11,0)</f>
        <v>0.85166666666666668</v>
      </c>
      <c r="F11" s="149"/>
      <c r="G11" s="169"/>
    </row>
    <row r="12" spans="1:7" ht="15.75" x14ac:dyDescent="0.25">
      <c r="A12" s="167"/>
      <c r="B12" s="106" t="s">
        <v>46</v>
      </c>
      <c r="C12" s="106">
        <v>3</v>
      </c>
      <c r="D12" s="108">
        <v>0</v>
      </c>
      <c r="E12" s="109">
        <f>IF(D12&gt;(75%*C12),D12/C12,0)</f>
        <v>0</v>
      </c>
      <c r="F12" s="149"/>
      <c r="G12" s="169"/>
    </row>
    <row r="13" spans="1:7" ht="15.75" x14ac:dyDescent="0.25">
      <c r="A13" s="167"/>
      <c r="B13" s="106" t="s">
        <v>47</v>
      </c>
      <c r="C13" s="110">
        <f>350000*C10</f>
        <v>8400000</v>
      </c>
      <c r="D13" s="111">
        <v>6496300</v>
      </c>
      <c r="E13" s="109">
        <f>IF(D13&gt;(75%*C13),D13/C13,0)</f>
        <v>0.77336904761904757</v>
      </c>
      <c r="F13" s="149"/>
      <c r="G13" s="169"/>
    </row>
    <row r="14" spans="1:7" ht="15.75" x14ac:dyDescent="0.25">
      <c r="A14" s="167"/>
      <c r="B14" s="106" t="s">
        <v>54</v>
      </c>
      <c r="C14" s="112">
        <v>4</v>
      </c>
      <c r="D14" s="111">
        <v>0</v>
      </c>
      <c r="E14" s="109">
        <f>IF(D14&gt;(75%*C14),D14/C14,0)</f>
        <v>0</v>
      </c>
      <c r="F14" s="149"/>
      <c r="G14" s="169"/>
    </row>
    <row r="15" spans="1:7" ht="16.5" thickBot="1" x14ac:dyDescent="0.3">
      <c r="A15" s="167"/>
      <c r="B15" s="113" t="s">
        <v>55</v>
      </c>
      <c r="C15" s="137">
        <v>2</v>
      </c>
      <c r="D15" s="115">
        <v>0</v>
      </c>
      <c r="E15" s="116">
        <f>IF(D15&gt;(75%*C15),D15/C15,0)</f>
        <v>0</v>
      </c>
      <c r="F15" s="150"/>
      <c r="G15" s="170"/>
    </row>
    <row r="16" spans="1:7" ht="15.75" x14ac:dyDescent="0.25">
      <c r="A16" s="166" t="s">
        <v>64</v>
      </c>
      <c r="B16" s="117" t="s">
        <v>18</v>
      </c>
      <c r="C16" s="118">
        <v>24</v>
      </c>
      <c r="D16" s="119">
        <v>24</v>
      </c>
      <c r="E16" s="120">
        <f>IF(D16&gt;(90%*C16),D16/C16,0)</f>
        <v>1</v>
      </c>
      <c r="F16" s="148">
        <f>IF(D19&gt;75%*D19,SUM(E17:E21)/5,0)</f>
        <v>0.35700683333333333</v>
      </c>
      <c r="G16" s="168">
        <f>350000*F16*E16</f>
        <v>124952.39166666666</v>
      </c>
    </row>
    <row r="17" spans="1:7" ht="15.75" x14ac:dyDescent="0.25">
      <c r="A17" s="167"/>
      <c r="B17" s="106" t="s">
        <v>45</v>
      </c>
      <c r="C17" s="107">
        <f>25*C16</f>
        <v>600</v>
      </c>
      <c r="D17" s="108">
        <v>485</v>
      </c>
      <c r="E17" s="109">
        <f>IF(D17&gt;(75%*C17),D17/C17,0)</f>
        <v>0.80833333333333335</v>
      </c>
      <c r="F17" s="149"/>
      <c r="G17" s="169"/>
    </row>
    <row r="18" spans="1:7" ht="15.75" x14ac:dyDescent="0.25">
      <c r="A18" s="167"/>
      <c r="B18" s="106" t="s">
        <v>46</v>
      </c>
      <c r="C18" s="106">
        <v>3</v>
      </c>
      <c r="D18" s="108">
        <f>199/485</f>
        <v>0.41030927835051545</v>
      </c>
      <c r="E18" s="109">
        <f>IF(D18&gt;(75%*C18),D18/C18,0)</f>
        <v>0</v>
      </c>
      <c r="F18" s="149"/>
      <c r="G18" s="169"/>
    </row>
    <row r="19" spans="1:7" ht="15.75" x14ac:dyDescent="0.25">
      <c r="A19" s="167"/>
      <c r="B19" s="106" t="s">
        <v>47</v>
      </c>
      <c r="C19" s="110">
        <f>650000*C16</f>
        <v>15600000</v>
      </c>
      <c r="D19" s="111">
        <v>15236533</v>
      </c>
      <c r="E19" s="109">
        <f>IF(D19&gt;(75%*C19),D19/C19,0)</f>
        <v>0.97670083333333335</v>
      </c>
      <c r="F19" s="149"/>
      <c r="G19" s="169"/>
    </row>
    <row r="20" spans="1:7" ht="15.75" x14ac:dyDescent="0.25">
      <c r="A20" s="167"/>
      <c r="B20" s="106" t="s">
        <v>54</v>
      </c>
      <c r="C20" s="112">
        <v>4</v>
      </c>
      <c r="D20" s="111">
        <v>0</v>
      </c>
      <c r="E20" s="109">
        <f>IF(D20&gt;(75%*C20),D20/C20,0)</f>
        <v>0</v>
      </c>
      <c r="F20" s="149"/>
      <c r="G20" s="169"/>
    </row>
    <row r="21" spans="1:7" ht="16.5" thickBot="1" x14ac:dyDescent="0.3">
      <c r="A21" s="167"/>
      <c r="B21" s="121" t="s">
        <v>55</v>
      </c>
      <c r="C21" s="136">
        <v>2</v>
      </c>
      <c r="D21" s="122">
        <v>0</v>
      </c>
      <c r="E21" s="123">
        <f>IF(D21&gt;(75%*C21),D21/C21,0)</f>
        <v>0</v>
      </c>
      <c r="F21" s="150"/>
      <c r="G21" s="170"/>
    </row>
    <row r="22" spans="1:7" ht="15.75" x14ac:dyDescent="0.25">
      <c r="A22" s="166" t="s">
        <v>65</v>
      </c>
      <c r="B22" s="102" t="s">
        <v>18</v>
      </c>
      <c r="C22" s="103">
        <v>24</v>
      </c>
      <c r="D22" s="104">
        <v>23</v>
      </c>
      <c r="E22" s="105">
        <f>IF(D22&gt;(90%*C22),D22/C22,0)</f>
        <v>0.95833333333333337</v>
      </c>
      <c r="F22" s="148">
        <f>IF(D25&gt;75%*D25,SUM(E23:E27)/5,0)</f>
        <v>0.15826710256410256</v>
      </c>
      <c r="G22" s="168">
        <f>350000*F22*E22</f>
        <v>53085.423985042733</v>
      </c>
    </row>
    <row r="23" spans="1:7" ht="15.75" x14ac:dyDescent="0.25">
      <c r="A23" s="167"/>
      <c r="B23" s="106" t="s">
        <v>45</v>
      </c>
      <c r="C23" s="107">
        <f>25*C22</f>
        <v>600</v>
      </c>
      <c r="D23" s="108">
        <v>421</v>
      </c>
      <c r="E23" s="109">
        <f>IF(D23&gt;(75%*C23),D23/C23,0)</f>
        <v>0</v>
      </c>
      <c r="F23" s="149"/>
      <c r="G23" s="169"/>
    </row>
    <row r="24" spans="1:7" ht="15.75" x14ac:dyDescent="0.25">
      <c r="A24" s="167"/>
      <c r="B24" s="106" t="s">
        <v>46</v>
      </c>
      <c r="C24" s="106">
        <v>3</v>
      </c>
      <c r="D24" s="108"/>
      <c r="E24" s="109">
        <f>IF(D24&gt;(75%*C24),D24/C24,0)</f>
        <v>0</v>
      </c>
      <c r="F24" s="149"/>
      <c r="G24" s="169"/>
    </row>
    <row r="25" spans="1:7" ht="15.75" x14ac:dyDescent="0.25">
      <c r="A25" s="167"/>
      <c r="B25" s="106" t="s">
        <v>47</v>
      </c>
      <c r="C25" s="110">
        <f>650000*C22</f>
        <v>15600000</v>
      </c>
      <c r="D25" s="111">
        <v>12344834</v>
      </c>
      <c r="E25" s="109">
        <f>IF(D25&gt;(75%*C25),D25/C25,0)</f>
        <v>0.79133551282051284</v>
      </c>
      <c r="F25" s="149"/>
      <c r="G25" s="169"/>
    </row>
    <row r="26" spans="1:7" ht="15.75" x14ac:dyDescent="0.25">
      <c r="A26" s="167"/>
      <c r="B26" s="106" t="s">
        <v>54</v>
      </c>
      <c r="C26" s="112">
        <v>4</v>
      </c>
      <c r="D26" s="111"/>
      <c r="E26" s="109">
        <f>IF(D26&gt;(75%*C26),D26/C26,0)</f>
        <v>0</v>
      </c>
      <c r="F26" s="149"/>
      <c r="G26" s="169"/>
    </row>
    <row r="27" spans="1:7" ht="16.5" thickBot="1" x14ac:dyDescent="0.3">
      <c r="A27" s="167"/>
      <c r="B27" s="113" t="s">
        <v>55</v>
      </c>
      <c r="C27" s="137">
        <v>2</v>
      </c>
      <c r="D27" s="115"/>
      <c r="E27" s="116">
        <f>IF(D27&gt;(75%*C27),D27/C27,0)</f>
        <v>0</v>
      </c>
      <c r="F27" s="150"/>
      <c r="G27" s="170"/>
    </row>
    <row r="28" spans="1:7" ht="15.75" customHeight="1" x14ac:dyDescent="0.25">
      <c r="A28" s="166" t="s">
        <v>66</v>
      </c>
      <c r="B28" s="117" t="s">
        <v>18</v>
      </c>
      <c r="C28" s="118">
        <v>24</v>
      </c>
      <c r="D28" s="119"/>
      <c r="E28" s="120">
        <f>IF(D28&gt;(90%*C28),D28/C28,0)</f>
        <v>0</v>
      </c>
      <c r="F28" s="148">
        <f>IF(D31&gt;75%*D31,SUM(E29:E33)/5,0)</f>
        <v>0</v>
      </c>
      <c r="G28" s="168">
        <f>350000*F28*E28</f>
        <v>0</v>
      </c>
    </row>
    <row r="29" spans="1:7" ht="15.75" x14ac:dyDescent="0.25">
      <c r="A29" s="167"/>
      <c r="B29" s="106" t="s">
        <v>45</v>
      </c>
      <c r="C29" s="107">
        <f>25*C28</f>
        <v>600</v>
      </c>
      <c r="D29" s="108"/>
      <c r="E29" s="109">
        <f>IF(D29&gt;(75%*C29),D29/C29,0)</f>
        <v>0</v>
      </c>
      <c r="F29" s="149"/>
      <c r="G29" s="169"/>
    </row>
    <row r="30" spans="1:7" ht="15.75" x14ac:dyDescent="0.25">
      <c r="A30" s="167"/>
      <c r="B30" s="106" t="s">
        <v>46</v>
      </c>
      <c r="C30" s="106">
        <v>3</v>
      </c>
      <c r="D30" s="108"/>
      <c r="E30" s="109">
        <f>IF(D30&gt;(75%*C30),D30/C30,0)</f>
        <v>0</v>
      </c>
      <c r="F30" s="149"/>
      <c r="G30" s="169"/>
    </row>
    <row r="31" spans="1:7" ht="15.75" x14ac:dyDescent="0.25">
      <c r="A31" s="167"/>
      <c r="B31" s="106" t="s">
        <v>47</v>
      </c>
      <c r="C31" s="110">
        <f>350000*C28</f>
        <v>8400000</v>
      </c>
      <c r="D31" s="111"/>
      <c r="E31" s="109">
        <f>IF(D31&gt;(75%*C31),D31/C31,0)</f>
        <v>0</v>
      </c>
      <c r="F31" s="149"/>
      <c r="G31" s="169"/>
    </row>
    <row r="32" spans="1:7" ht="15.75" x14ac:dyDescent="0.25">
      <c r="A32" s="167"/>
      <c r="B32" s="106" t="s">
        <v>54</v>
      </c>
      <c r="C32" s="112">
        <v>4</v>
      </c>
      <c r="D32" s="111"/>
      <c r="E32" s="109">
        <f>IF(D32&gt;(75%*C32),D32/C32,0)</f>
        <v>0</v>
      </c>
      <c r="F32" s="149"/>
      <c r="G32" s="169"/>
    </row>
    <row r="33" spans="1:7" ht="16.5" thickBot="1" x14ac:dyDescent="0.3">
      <c r="A33" s="167"/>
      <c r="B33" s="121" t="s">
        <v>55</v>
      </c>
      <c r="C33" s="136">
        <v>2</v>
      </c>
      <c r="D33" s="122"/>
      <c r="E33" s="123">
        <f>IF(D33&gt;(75%*C33),D33/C33,0)</f>
        <v>0</v>
      </c>
      <c r="F33" s="150"/>
      <c r="G33" s="170"/>
    </row>
    <row r="34" spans="1:7" ht="15.75" customHeight="1" x14ac:dyDescent="0.25">
      <c r="A34" s="166" t="s">
        <v>68</v>
      </c>
      <c r="B34" s="102" t="s">
        <v>18</v>
      </c>
      <c r="C34" s="103">
        <v>24</v>
      </c>
      <c r="D34" s="104"/>
      <c r="E34" s="105">
        <f>IF(D34&gt;(90%*C34),D34/C34,0)</f>
        <v>0</v>
      </c>
      <c r="F34" s="148">
        <f>IF(D37&gt;75%*D37,SUM(E35:E39)/5,0)</f>
        <v>0</v>
      </c>
      <c r="G34" s="168">
        <f>350000*F34*E34</f>
        <v>0</v>
      </c>
    </row>
    <row r="35" spans="1:7" ht="15.75" x14ac:dyDescent="0.25">
      <c r="A35" s="167"/>
      <c r="B35" s="106" t="s">
        <v>45</v>
      </c>
      <c r="C35" s="107">
        <f>25*C34</f>
        <v>600</v>
      </c>
      <c r="D35" s="108"/>
      <c r="E35" s="109">
        <f>IF(D35&gt;(75%*C35),D35/C35,0)</f>
        <v>0</v>
      </c>
      <c r="F35" s="149"/>
      <c r="G35" s="169"/>
    </row>
    <row r="36" spans="1:7" ht="15.75" x14ac:dyDescent="0.25">
      <c r="A36" s="167"/>
      <c r="B36" s="106" t="s">
        <v>46</v>
      </c>
      <c r="C36" s="106">
        <v>3</v>
      </c>
      <c r="D36" s="108"/>
      <c r="E36" s="109">
        <f>IF(D36&gt;(75%*C36),D36/C36,0)</f>
        <v>0</v>
      </c>
      <c r="F36" s="149"/>
      <c r="G36" s="169"/>
    </row>
    <row r="37" spans="1:7" ht="15.75" x14ac:dyDescent="0.25">
      <c r="A37" s="167"/>
      <c r="B37" s="106" t="s">
        <v>47</v>
      </c>
      <c r="C37" s="110">
        <f>350000*C34</f>
        <v>8400000</v>
      </c>
      <c r="D37" s="111"/>
      <c r="E37" s="109">
        <f>IF(D37&gt;(75%*C37),D37/C37,0)</f>
        <v>0</v>
      </c>
      <c r="F37" s="149"/>
      <c r="G37" s="169"/>
    </row>
    <row r="38" spans="1:7" ht="15.75" x14ac:dyDescent="0.25">
      <c r="A38" s="167"/>
      <c r="B38" s="106" t="s">
        <v>54</v>
      </c>
      <c r="C38" s="112">
        <v>4</v>
      </c>
      <c r="D38" s="111"/>
      <c r="E38" s="109">
        <f>IF(D38&gt;(75%*C38),D38/C38,0)</f>
        <v>0</v>
      </c>
      <c r="F38" s="149"/>
      <c r="G38" s="169"/>
    </row>
    <row r="39" spans="1:7" ht="16.5" thickBot="1" x14ac:dyDescent="0.3">
      <c r="A39" s="171"/>
      <c r="B39" s="113" t="s">
        <v>55</v>
      </c>
      <c r="C39" s="137">
        <v>2</v>
      </c>
      <c r="D39" s="115"/>
      <c r="E39" s="116">
        <f>IF(D39&gt;(75%*C39),D39/C39,0)</f>
        <v>0</v>
      </c>
      <c r="F39" s="150"/>
      <c r="G39" s="170"/>
    </row>
  </sheetData>
  <mergeCells count="21">
    <mergeCell ref="E2:G2"/>
    <mergeCell ref="C2:D2"/>
    <mergeCell ref="A28:A33"/>
    <mergeCell ref="F28:F33"/>
    <mergeCell ref="G28:G33"/>
    <mergeCell ref="A34:A39"/>
    <mergeCell ref="F34:F39"/>
    <mergeCell ref="G34:G39"/>
    <mergeCell ref="A16:A21"/>
    <mergeCell ref="F16:F21"/>
    <mergeCell ref="G16:G21"/>
    <mergeCell ref="A22:A27"/>
    <mergeCell ref="F22:F27"/>
    <mergeCell ref="G22:G27"/>
    <mergeCell ref="A1:G1"/>
    <mergeCell ref="A4:A9"/>
    <mergeCell ref="F4:F9"/>
    <mergeCell ref="G4:G9"/>
    <mergeCell ref="A10:A15"/>
    <mergeCell ref="F10:F15"/>
    <mergeCell ref="G10:G15"/>
  </mergeCells>
  <phoneticPr fontId="16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Insetive Sales 1</vt:lpstr>
      <vt:lpstr>Insentive Sales 2</vt:lpstr>
    </vt:vector>
  </TitlesOfParts>
  <Company>acer.id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notebook hp</cp:lastModifiedBy>
  <dcterms:created xsi:type="dcterms:W3CDTF">2009-05-11T06:22:56Z</dcterms:created>
  <dcterms:modified xsi:type="dcterms:W3CDTF">2017-11-06T07:30:31Z</dcterms:modified>
</cp:coreProperties>
</file>